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J:\Forschung_alle\_Projekte_Laufend\WORK_EBG_w&amp;c integra+_9366\Projekt\Kalkulationstool\Versionen Tool\Finale Version\Finale Version Lara\"/>
    </mc:Choice>
  </mc:AlternateContent>
  <xr:revisionPtr revIDLastSave="0" documentId="13_ncr:1_{60D74198-79F7-4337-83BB-A4AB9E68FD44}" xr6:coauthVersionLast="36" xr6:coauthVersionMax="36" xr10:uidLastSave="{00000000-0000-0000-0000-000000000000}"/>
  <bookViews>
    <workbookView xWindow="18252" yWindow="0" windowWidth="3576" windowHeight="1788" xr2:uid="{3C625CFC-E53E-4E94-9C67-A5A739909240}"/>
  </bookViews>
  <sheets>
    <sheet name="Variante 1" sheetId="1" r:id="rId1"/>
    <sheet name="Variante 2" sheetId="3" r:id="rId2"/>
    <sheet name="Variante 3" sheetId="6" r:id="rId3"/>
  </sheets>
  <definedNames>
    <definedName name="_Hlk63930702" localSheetId="0">'Variante 1'!#REF!</definedName>
    <definedName name="_Hlk63930702" localSheetId="1">'Variante 2'!#REF!</definedName>
    <definedName name="_Hlk63930702" localSheetId="2">'Variante 3'!#REF!</definedName>
    <definedName name="_Toc65139126" localSheetId="0">'Variante 1'!#REF!</definedName>
    <definedName name="_Toc65139126" localSheetId="1">'Variante 2'!#REF!</definedName>
    <definedName name="_Toc65139126" localSheetId="2">'Variante 3'!#REF!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2" i="6" l="1"/>
  <c r="A96" i="6" l="1"/>
  <c r="A99" i="6" l="1"/>
  <c r="A86" i="6"/>
  <c r="D141" i="6" l="1"/>
  <c r="D145" i="6" s="1"/>
  <c r="D142" i="6"/>
  <c r="D146" i="6" s="1"/>
  <c r="C142" i="6"/>
  <c r="C146" i="6" s="1"/>
  <c r="B100" i="6"/>
  <c r="D102" i="6"/>
  <c r="B131" i="6"/>
  <c r="D96" i="6"/>
  <c r="D99" i="6"/>
  <c r="D98" i="6"/>
  <c r="D66" i="6"/>
  <c r="D56" i="6"/>
  <c r="D93" i="6"/>
  <c r="D111" i="6"/>
  <c r="C111" i="6"/>
  <c r="D112" i="6"/>
  <c r="C112" i="6"/>
  <c r="D21" i="6"/>
  <c r="C115" i="6"/>
  <c r="C130" i="6" s="1"/>
  <c r="B147" i="6" l="1"/>
  <c r="B112" i="6"/>
  <c r="B111" i="6"/>
  <c r="B143" i="6"/>
  <c r="A103" i="6"/>
  <c r="B103" i="6"/>
  <c r="D101" i="6"/>
  <c r="D95" i="6"/>
  <c r="D22" i="6"/>
  <c r="D18" i="6"/>
  <c r="D17" i="6"/>
  <c r="D85" i="6"/>
  <c r="D79" i="6"/>
  <c r="D65" i="6"/>
  <c r="D62" i="6"/>
  <c r="B57" i="6"/>
  <c r="C120" i="6" s="1"/>
  <c r="C135" i="6" s="1"/>
  <c r="B53" i="6"/>
  <c r="C119" i="6" s="1"/>
  <c r="D55" i="6"/>
  <c r="D52" i="6"/>
  <c r="D38" i="6"/>
  <c r="D29" i="6"/>
  <c r="B50" i="6"/>
  <c r="C118" i="6" s="1"/>
  <c r="C133" i="6" s="1"/>
  <c r="B49" i="6"/>
  <c r="C117" i="6" s="1"/>
  <c r="C132" i="6" s="1"/>
  <c r="C134" i="6" l="1"/>
  <c r="B32" i="6"/>
  <c r="B42" i="6"/>
  <c r="B84" i="6" s="1"/>
  <c r="B43" i="6"/>
  <c r="B41" i="6"/>
  <c r="D115" i="6" s="1"/>
  <c r="D37" i="6"/>
  <c r="B34" i="6"/>
  <c r="B33" i="6"/>
  <c r="B78" i="6" s="1"/>
  <c r="D9" i="6"/>
  <c r="D130" i="6" l="1"/>
  <c r="B115" i="6"/>
  <c r="D80" i="6"/>
  <c r="A80" i="6"/>
  <c r="D86" i="6"/>
  <c r="B81" i="6"/>
  <c r="B82" i="6" s="1"/>
  <c r="C121" i="6" s="1"/>
  <c r="B87" i="6"/>
  <c r="B88" i="6" s="1"/>
  <c r="D121" i="6" s="1"/>
  <c r="D136" i="6" s="1"/>
  <c r="C84" i="6"/>
  <c r="C78" i="6"/>
  <c r="B67" i="6"/>
  <c r="D120" i="6" s="1"/>
  <c r="B63" i="6"/>
  <c r="D119" i="6" s="1"/>
  <c r="B60" i="6"/>
  <c r="D118" i="6" s="1"/>
  <c r="B59" i="6"/>
  <c r="D117" i="6" s="1"/>
  <c r="D122" i="6" l="1"/>
  <c r="B130" i="6"/>
  <c r="C136" i="6"/>
  <c r="C137" i="6" s="1"/>
  <c r="B121" i="6"/>
  <c r="C122" i="6"/>
  <c r="D132" i="6"/>
  <c r="B132" i="6" s="1"/>
  <c r="B117" i="6"/>
  <c r="D133" i="6"/>
  <c r="B133" i="6" s="1"/>
  <c r="B118" i="6"/>
  <c r="D134" i="6"/>
  <c r="B134" i="6" s="1"/>
  <c r="B119" i="6"/>
  <c r="D135" i="6"/>
  <c r="B135" i="6" s="1"/>
  <c r="B120" i="6"/>
  <c r="B58" i="3"/>
  <c r="B88" i="1"/>
  <c r="B84" i="1"/>
  <c r="B44" i="3"/>
  <c r="B17" i="3"/>
  <c r="B84" i="3" s="1"/>
  <c r="G73" i="1"/>
  <c r="G74" i="1"/>
  <c r="G75" i="1"/>
  <c r="G72" i="1"/>
  <c r="D10" i="3"/>
  <c r="D9" i="3"/>
  <c r="D10" i="1"/>
  <c r="D9" i="1"/>
  <c r="B64" i="1"/>
  <c r="B59" i="1" s="1"/>
  <c r="B43" i="1"/>
  <c r="B42" i="1"/>
  <c r="B25" i="1"/>
  <c r="B68" i="1" s="1"/>
  <c r="B18" i="1"/>
  <c r="B63" i="1" s="1"/>
  <c r="B72" i="1" s="1"/>
  <c r="B43" i="3" l="1"/>
  <c r="B122" i="6"/>
  <c r="B136" i="6"/>
  <c r="D137" i="6"/>
  <c r="J73" i="1"/>
  <c r="I74" i="1"/>
  <c r="J74" i="1"/>
  <c r="I75" i="1"/>
  <c r="I76" i="1" s="1"/>
  <c r="J75" i="1"/>
  <c r="I73" i="1"/>
  <c r="I72" i="1"/>
  <c r="J72" i="1"/>
  <c r="B117" i="1"/>
  <c r="B122" i="1"/>
  <c r="B66" i="1"/>
  <c r="B118" i="1" s="1"/>
  <c r="B31" i="3"/>
  <c r="B32" i="3"/>
  <c r="B115" i="1"/>
  <c r="B32" i="1"/>
  <c r="B112" i="3"/>
  <c r="B111" i="3"/>
  <c r="B107" i="3"/>
  <c r="B104" i="3"/>
  <c r="B108" i="3"/>
  <c r="G47" i="3"/>
  <c r="I47" i="3" l="1"/>
  <c r="B46" i="3"/>
  <c r="B86" i="3" s="1"/>
  <c r="B88" i="3" s="1"/>
  <c r="B91" i="3" s="1"/>
  <c r="B137" i="6"/>
  <c r="B120" i="1"/>
  <c r="J47" i="3"/>
  <c r="B47" i="1"/>
  <c r="B46" i="1"/>
  <c r="D95" i="3"/>
  <c r="D94" i="3"/>
  <c r="D82" i="3"/>
  <c r="D81" i="3"/>
  <c r="D79" i="3"/>
  <c r="D78" i="3"/>
  <c r="D57" i="3"/>
  <c r="D56" i="3"/>
  <c r="G50" i="3"/>
  <c r="G49" i="3"/>
  <c r="D49" i="3"/>
  <c r="G48" i="3"/>
  <c r="D45" i="3"/>
  <c r="D33" i="3"/>
  <c r="B101" i="3"/>
  <c r="D16" i="3"/>
  <c r="D15" i="3"/>
  <c r="D60" i="1"/>
  <c r="B90" i="3" l="1"/>
  <c r="B148" i="6"/>
  <c r="I49" i="3"/>
  <c r="J49" i="3"/>
  <c r="I48" i="3"/>
  <c r="J48" i="3"/>
  <c r="J50" i="3"/>
  <c r="I50" i="3"/>
  <c r="I51" i="3" s="1"/>
  <c r="B103" i="3"/>
  <c r="C43" i="3"/>
  <c r="C150" i="1"/>
  <c r="C149" i="1"/>
  <c r="C146" i="1"/>
  <c r="C147" i="1"/>
  <c r="C144" i="1"/>
  <c r="D136" i="1"/>
  <c r="D135" i="1"/>
  <c r="D112" i="1"/>
  <c r="D111" i="1"/>
  <c r="D109" i="1"/>
  <c r="D108" i="1"/>
  <c r="B149" i="6" l="1"/>
  <c r="A149" i="6"/>
  <c r="J51" i="3"/>
  <c r="B50" i="3" s="1"/>
  <c r="B105" i="3"/>
  <c r="D87" i="1"/>
  <c r="D83" i="1"/>
  <c r="D81" i="1"/>
  <c r="C151" i="1"/>
  <c r="C148" i="1"/>
  <c r="B69" i="1"/>
  <c r="B71" i="1" s="1"/>
  <c r="D74" i="1"/>
  <c r="D70" i="1"/>
  <c r="D24" i="1"/>
  <c r="D23" i="1"/>
  <c r="D17" i="1"/>
  <c r="D16" i="1"/>
  <c r="D15" i="1"/>
  <c r="D44" i="1"/>
  <c r="D48" i="1"/>
  <c r="D65" i="1"/>
  <c r="B106" i="3" l="1"/>
  <c r="B110" i="3"/>
  <c r="C63" i="1"/>
  <c r="B157" i="1" l="1"/>
  <c r="D156" i="1"/>
  <c r="D155" i="1"/>
  <c r="C156" i="1"/>
  <c r="C155" i="1"/>
  <c r="C154" i="1"/>
  <c r="C153" i="1"/>
  <c r="D151" i="1"/>
  <c r="D150" i="1"/>
  <c r="D147" i="1"/>
  <c r="B155" i="1" l="1"/>
  <c r="B156" i="1"/>
  <c r="B151" i="1"/>
  <c r="B147" i="1"/>
  <c r="B150" i="1"/>
  <c r="C68" i="1" l="1"/>
  <c r="D148" i="1"/>
  <c r="B124" i="1" l="1"/>
  <c r="B126" i="1" s="1"/>
  <c r="B148" i="1"/>
  <c r="B127" i="1" l="1"/>
  <c r="B139" i="1" s="1"/>
  <c r="D146" i="1"/>
  <c r="B146" i="1" s="1"/>
  <c r="D144" i="1"/>
  <c r="B144" i="1" s="1"/>
  <c r="B132" i="1" l="1"/>
  <c r="D154" i="1" s="1"/>
  <c r="B154" i="1" s="1"/>
  <c r="B131" i="1"/>
  <c r="D153" i="1" s="1"/>
  <c r="B153" i="1" s="1"/>
  <c r="J76" i="1"/>
  <c r="B75" i="1" s="1"/>
  <c r="D149" i="1" l="1"/>
  <c r="B149" i="1" s="1"/>
</calcChain>
</file>

<file path=xl/sharedStrings.xml><?xml version="1.0" encoding="utf-8"?>
<sst xmlns="http://schemas.openxmlformats.org/spreadsheetml/2006/main" count="476" uniqueCount="225">
  <si>
    <t>CHF</t>
  </si>
  <si>
    <t>Altersklasse:</t>
  </si>
  <si>
    <t>25-34</t>
  </si>
  <si>
    <t>35-44</t>
  </si>
  <si>
    <t>45-54</t>
  </si>
  <si>
    <t>Ab 55</t>
  </si>
  <si>
    <t>Beitragssatz:</t>
  </si>
  <si>
    <t>Total:</t>
  </si>
  <si>
    <t>Altersguthaben bei Pensionierung:</t>
  </si>
  <si>
    <t>AHV-Satz:</t>
  </si>
  <si>
    <t>Bisheriger PK-Beitrag:</t>
  </si>
  <si>
    <t>PK-Beitrag:</t>
  </si>
  <si>
    <t>Wie lautet Ihr aktuelles Pensionskassenguthaben gemäss Vorsorgeausweis?</t>
  </si>
  <si>
    <t>Work &amp; care Integra Plus</t>
  </si>
  <si>
    <t>1. Alter und Geschlecht</t>
  </si>
  <si>
    <t>Wie alt sind Sie?</t>
  </si>
  <si>
    <t>Jahre (ohne Komma)</t>
  </si>
  <si>
    <t>Welches ist Ihr Geschlecht?</t>
  </si>
  <si>
    <t>männlich = 1
weiblich = 2</t>
  </si>
  <si>
    <t>Wie lautet Ihr bisheriger Beschäftigungsgrad?</t>
  </si>
  <si>
    <t>Wie lautet Ihr zukünftiger Beschäftigungsgrad?</t>
  </si>
  <si>
    <t>Resultat: Zukünftiger Brutto-Jahreslohn nach Anpassung Beschäftigungsgrad</t>
  </si>
  <si>
    <t>% (ohne Komma)</t>
  </si>
  <si>
    <t>3. Zukünftige Spitex-Anstellung</t>
  </si>
  <si>
    <t>Wie lautet Ihr voraussichtlicher Beschäftigungsgrad bei der Spitex?</t>
  </si>
  <si>
    <t>Resultat: Zukünftiger Brutto-Jahreslohn bei Spitex</t>
  </si>
  <si>
    <t>Resultat: Zukünftiger Brutto-Jahreslohn für beide Anstellungen insgesamt</t>
  </si>
  <si>
    <t>Berechnen Sie Ihre AHV-Rente für dieses Brutto-Jahreseinkommen:</t>
  </si>
  <si>
    <r>
      <rPr>
        <u/>
        <sz val="12"/>
        <color theme="10"/>
        <rFont val="Calibri"/>
        <family val="2"/>
      </rPr>
      <t>→</t>
    </r>
    <r>
      <rPr>
        <u/>
        <sz val="10.1"/>
        <color theme="10"/>
        <rFont val="Arial"/>
        <family val="2"/>
      </rPr>
      <t xml:space="preserve"> </t>
    </r>
    <r>
      <rPr>
        <u/>
        <sz val="12"/>
        <color theme="10"/>
        <rFont val="Arial"/>
        <family val="2"/>
      </rPr>
      <t>https://www.spitextg.ch/files/HCNN011/2020_empfehlungen_besoldung_mitarbeitende_spitex.pdf</t>
    </r>
  </si>
  <si>
    <t xml:space="preserve">Ziel/Zweck: Zusammen mit der ersten Säule soll ein Renteneinkommen von rund 60 Prozent des letzten Lohns erreicht werden. Weitere Informationen hierzu: </t>
  </si>
  <si>
    <r>
      <rPr>
        <u/>
        <sz val="12"/>
        <color theme="10"/>
        <rFont val="Calibri"/>
        <family val="2"/>
      </rPr>
      <t xml:space="preserve">→ </t>
    </r>
    <r>
      <rPr>
        <u/>
        <sz val="12"/>
        <color theme="10"/>
        <rFont val="Arial"/>
        <family val="2"/>
      </rPr>
      <t>https://www.ahv-iv.ch/de/Sozialversicherungen/Weitere-Sozialversicherungen/Berufliche-Vorsorge-BV</t>
    </r>
  </si>
  <si>
    <r>
      <rPr>
        <u/>
        <sz val="12"/>
        <color theme="10"/>
        <rFont val="Calibri"/>
        <family val="2"/>
      </rPr>
      <t>→</t>
    </r>
    <r>
      <rPr>
        <u/>
        <sz val="12"/>
        <color theme="10"/>
        <rFont val="Arial"/>
        <family val="2"/>
      </rPr>
      <t xml:space="preserve"> https://web.aeis.ch/DE/static_pages/41/Unser%20Auftrag</t>
    </r>
  </si>
  <si>
    <r>
      <rPr>
        <u/>
        <sz val="12"/>
        <color theme="10"/>
        <rFont val="Calibri"/>
        <family val="2"/>
      </rPr>
      <t xml:space="preserve">→ </t>
    </r>
    <r>
      <rPr>
        <u/>
        <sz val="12"/>
        <color theme="10"/>
        <rFont val="Arial"/>
        <family val="2"/>
      </rPr>
      <t>https://www.ahv-iv.ch/de/Merkbl%C3%A4tter-Formulare/Online-Rentensch%C3%A4tzung-ESCAL</t>
    </r>
  </si>
  <si>
    <r>
      <rPr>
        <u/>
        <sz val="12"/>
        <color theme="10"/>
        <rFont val="Calibri"/>
        <family val="2"/>
      </rPr>
      <t xml:space="preserve">→ </t>
    </r>
    <r>
      <rPr>
        <u/>
        <sz val="12"/>
        <color theme="10"/>
        <rFont val="Arial"/>
        <family val="2"/>
      </rPr>
      <t>https://www.ahv-iv.ch/p/3.01.d</t>
    </r>
  </si>
  <si>
    <t>Resultat: Prüfung, ob der Brutto-Jahreslohn über dem Grenzwert liegt</t>
  </si>
  <si>
    <t>Bisherige Anstellung nach Anpassung Beschäftigungsgrad:</t>
  </si>
  <si>
    <t>Resultat: Beitragssatz gemäss Altersklasse</t>
  </si>
  <si>
    <t>Ja = 1
Nein = 0</t>
  </si>
  <si>
    <t>Resultat: Jährlicher PK-Beitrag gemäss Altersklasse</t>
  </si>
  <si>
    <t>Zukünftige Anstellung bei Spitex Betrieb:</t>
  </si>
  <si>
    <r>
      <rPr>
        <u/>
        <sz val="12"/>
        <color theme="1"/>
        <rFont val="Arial"/>
        <family val="2"/>
      </rPr>
      <t>Vorgehen:</t>
    </r>
    <r>
      <rPr>
        <sz val="12"/>
        <color theme="1"/>
        <rFont val="Arial"/>
        <family val="2"/>
      </rPr>
      <t xml:space="preserve"> Zur Berechnung Ihrer voraussichtlichen AHV-Rente ab Pensionierung verwenden Sie bitte die online Rentenschätzung der Informationsstelle AHV/IV des Bundes (siehe Link unten). Es ist ein leicht anzuwendendes Tool. Die Schätzung ist anonym und unverbindlich. Das Amt schreibt dazu: "Je weiter entfernt Ihr Ruhestand ist, desto unsicherer ist der hochgerechnete Betrag, da die Entwicklung der Lebenshaltungskosten schwer vorhersehbar ist". Weitere Informationen zur AHV-Rente finden Sie hier: </t>
    </r>
  </si>
  <si>
    <t>2. Bisherige Anstellung</t>
  </si>
  <si>
    <t>Anzahl Jahre:</t>
  </si>
  <si>
    <t>5. Vorsorge zweite Säule (BVG, Pensionskasse)</t>
  </si>
  <si>
    <t>6. Vorsorge dritte Säule (3a, private Vorsorge)</t>
  </si>
  <si>
    <t>Wie hoch ist Ihr gesamtes aktuelles Vorsorgeguthaben der Säule 3a?
(Sie können dieses Ihrem Bankauszug bzw. Ihrer Steuererklärung entnehmen.)</t>
  </si>
  <si>
    <t>Welchen Betrag würden Sie zukünftig jährlich in Ihre Säule 3a einzahlen?
(Aktuell sind für Angestellte maximal 6'883 CHF pro Jahr gesetzlich erlaubt.)</t>
  </si>
  <si>
    <r>
      <rPr>
        <u/>
        <sz val="12"/>
        <color theme="10"/>
        <rFont val="Calibri"/>
        <family val="2"/>
      </rPr>
      <t xml:space="preserve">→ </t>
    </r>
    <r>
      <rPr>
        <u/>
        <sz val="12"/>
        <color theme="10"/>
        <rFont val="Arial"/>
        <family val="2"/>
      </rPr>
      <t>https://www.kmu.admin.ch/kmu/de/home/praktisches-wissen/personal/personalmanagement/pflichten-der-arbeitgebenden/sozialversicherungen/krankentaggeld-versicherung.html</t>
    </r>
  </si>
  <si>
    <r>
      <rPr>
        <u/>
        <sz val="12"/>
        <color theme="10"/>
        <rFont val="Calibri"/>
        <family val="2"/>
      </rPr>
      <t xml:space="preserve">→ </t>
    </r>
    <r>
      <rPr>
        <u/>
        <sz val="12"/>
        <color theme="10"/>
        <rFont val="Arial"/>
        <family val="2"/>
      </rPr>
      <t>https://www.ch.ch/de/arbeitsunfahigkeit-infolge-krankheit-schwangerschaft-rechte/</t>
    </r>
  </si>
  <si>
    <t>Weitere Informationen:</t>
  </si>
  <si>
    <r>
      <t xml:space="preserve">→ </t>
    </r>
    <r>
      <rPr>
        <u/>
        <sz val="12"/>
        <color theme="10"/>
        <rFont val="Arial"/>
        <family val="2"/>
      </rPr>
      <t>https://www.koordination.ch/de/online-handbuch/krankentaggeld/lohnfortzahlungspflicht/#c68572</t>
    </r>
  </si>
  <si>
    <r>
      <rPr>
        <u/>
        <sz val="12"/>
        <color theme="10"/>
        <rFont val="Calibri"/>
        <family val="2"/>
      </rPr>
      <t xml:space="preserve">→ </t>
    </r>
    <r>
      <rPr>
        <u/>
        <sz val="12"/>
        <color theme="10"/>
        <rFont val="Arial"/>
        <family val="2"/>
      </rPr>
      <t>https://www.bag.admin.ch/bag/de/home/versicherungen/unfallversicherung.html</t>
    </r>
  </si>
  <si>
    <t>Aufzinsung 65:</t>
  </si>
  <si>
    <t>Aufzinsung 64:</t>
  </si>
  <si>
    <t>Kanton und Gemeinde</t>
  </si>
  <si>
    <t>Bund</t>
  </si>
  <si>
    <t>Veränderung Brutto-Jahreslohn aufgrund Anpassung Beschäftigungsgrad:</t>
  </si>
  <si>
    <t>Zukünftiger PK-Beitrag:</t>
  </si>
  <si>
    <t>Resultate: Bisherige Anstellung nach Anpassung Beschäftigungsgrad</t>
  </si>
  <si>
    <t>Netto-Jahreslohn:</t>
  </si>
  <si>
    <t>Brutto-Jahreslohn:</t>
  </si>
  <si>
    <t>**Abzüge für den Nebenerwerb können je nach Kanton variieren (hier: Version Kanton Thurgau).</t>
  </si>
  <si>
    <t>Bitte geben Sie den resultierenden Steuerbetrag für Kanton und Gemeinde ein:</t>
  </si>
  <si>
    <t>Bitte geben Sie den resultierenden Steuerbetrag für den Bund ein:</t>
  </si>
  <si>
    <r>
      <rPr>
        <b/>
        <sz val="12"/>
        <color theme="1"/>
        <rFont val="Arial"/>
        <family val="2"/>
      </rPr>
      <t xml:space="preserve">c) Unfallversicherung: </t>
    </r>
    <r>
      <rPr>
        <sz val="12"/>
        <color theme="1"/>
        <rFont val="Arial"/>
        <family val="2"/>
      </rPr>
      <t xml:space="preserve">
Die Unfallversicherung bietet Schutz bei Berufsunfällen, Nichtberufsunfällen und Berufskrankheiten ab einer Beschäftigung von 8h pro Woche. Weitere Informationen:</t>
    </r>
  </si>
  <si>
    <t>Brutto-Jahreslohn</t>
  </si>
  <si>
    <t>4. Vorsorge erste Säule (AHV)</t>
  </si>
  <si>
    <t>Steuerbares Einkommen Kanton/Gemeinde</t>
  </si>
  <si>
    <t>Steuerbares Einkommen Bund</t>
  </si>
  <si>
    <t>Bei Bedarf: Freies Feld für sonstige Berechnungen (z.B. Ersparnisse)</t>
  </si>
  <si>
    <r>
      <rPr>
        <u/>
        <sz val="12"/>
        <color theme="10"/>
        <rFont val="Calibri"/>
        <family val="2"/>
      </rPr>
      <t>→</t>
    </r>
    <r>
      <rPr>
        <u/>
        <sz val="10.1"/>
        <color theme="10"/>
        <rFont val="Calibri"/>
        <family val="2"/>
      </rPr>
      <t xml:space="preserve"> </t>
    </r>
    <r>
      <rPr>
        <u/>
        <sz val="12"/>
        <color theme="10"/>
        <rFont val="Arial"/>
        <family val="2"/>
      </rPr>
      <t>https://www.ch.ch/de/steuerrechner/</t>
    </r>
  </si>
  <si>
    <t>Veränderung</t>
  </si>
  <si>
    <t>Geben Sie das Resultat hier ein (monatlicher Rentenbetrag im Pensionsalter):</t>
  </si>
  <si>
    <t>Vorsorge:</t>
  </si>
  <si>
    <t>Bitte entnehmen Sie Ihrem Vorsorgeausweis das prognostizierte Altersguthaben bei Pensionierung und tragen Sie es hier ein:</t>
  </si>
  <si>
    <t>AHV: Jährliche Beiträge (Abzug vom Brutto-Jahreslohn, Arbeitnehmeranteil)</t>
  </si>
  <si>
    <t>AHV: Monatliche Rente im Pensionsalter</t>
  </si>
  <si>
    <t>PK: Jährliche Beiträge (Abzug vom Brutto-Jahreslohn, Arbeitnehmeranteil)</t>
  </si>
  <si>
    <t>PK: Altersguthaben bei Pensionierung</t>
  </si>
  <si>
    <t>Einkommenssteuer Kanton/Gemeinde</t>
  </si>
  <si>
    <t>Einkommenssteuer Bund</t>
  </si>
  <si>
    <t>Resultat: Geschätztes Altersguthaben bei Pensionierung*</t>
  </si>
  <si>
    <t xml:space="preserve">Szenario B: Tabelle mit Teilresultaten zum Altersguthaben aufgrund der zukünftigen Erwerbstätigkeit </t>
  </si>
  <si>
    <t>Szenario A (weiter wie bisher)</t>
  </si>
  <si>
    <t>Szenario B (Spitex Anstellung)</t>
  </si>
  <si>
    <t>3a: Altersguthaben bei Pensionierung</t>
  </si>
  <si>
    <t>Resultat: Jährlicher AHV-Beitrag (Abzug vom Brutto-Jahreslohn, Arbeitnehmeranteil)</t>
  </si>
  <si>
    <t>Resultat: Brutto-Jahreseinkommen für das PK-Beiträge gezahlt werden</t>
  </si>
  <si>
    <t>Resultat: Geschätzte Veränderung steuerbares Einkommen (Szenario B minus A)</t>
  </si>
  <si>
    <t>10. Abschliessende Übersicht</t>
  </si>
  <si>
    <t>Kennzahl</t>
  </si>
  <si>
    <t>2. Zukünftige Spitex-Anstellung</t>
  </si>
  <si>
    <r>
      <t xml:space="preserve">Wie lautet Ihr bisheriger Brutto-Jahreslohn? (Bei einem Beschäftigungsgrad unter
100% bitte </t>
    </r>
    <r>
      <rPr>
        <u/>
        <sz val="12"/>
        <color theme="1"/>
        <rFont val="Arial"/>
        <family val="2"/>
      </rPr>
      <t>nicht auf 100% hochrechnen</t>
    </r>
    <r>
      <rPr>
        <sz val="12"/>
        <color theme="1"/>
        <rFont val="Arial"/>
        <family val="2"/>
      </rPr>
      <t>.)</t>
    </r>
  </si>
  <si>
    <r>
      <t xml:space="preserve">Wie lautet der Brutto-Jahreslohn Ihrer Stelle bei der Spitex </t>
    </r>
    <r>
      <rPr>
        <u/>
        <sz val="12"/>
        <color theme="1"/>
        <rFont val="Arial"/>
        <family val="2"/>
      </rPr>
      <t>auf 100% hochgerechnet</t>
    </r>
    <r>
      <rPr>
        <sz val="12"/>
        <color theme="1"/>
        <rFont val="Arial"/>
        <family val="2"/>
      </rPr>
      <t>?</t>
    </r>
  </si>
  <si>
    <t>3. Vorsorge erste Säule (AHV)</t>
  </si>
  <si>
    <t>4. Vorsorge zweite Säule (BVG, Pensionskasse)</t>
  </si>
  <si>
    <r>
      <t xml:space="preserve">Falls der Brutto-Jahreslohn unter dem Grenzwert liegt </t>
    </r>
    <r>
      <rPr>
        <sz val="12"/>
        <color rgb="FF0000FF"/>
        <rFont val="Arial"/>
        <family val="2"/>
      </rPr>
      <t>(siehe blauer Text)</t>
    </r>
    <r>
      <rPr>
        <sz val="12"/>
        <color theme="1"/>
        <rFont val="Arial"/>
        <family val="2"/>
      </rPr>
      <t>:
Möchten Sie dieses Einkommen trotzdem freiwillig versichern?</t>
    </r>
  </si>
  <si>
    <r>
      <rPr>
        <u/>
        <sz val="12"/>
        <color theme="1"/>
        <rFont val="Arial"/>
        <family val="2"/>
      </rPr>
      <t>Erklärung:</t>
    </r>
    <r>
      <rPr>
        <sz val="12"/>
        <color theme="1"/>
        <rFont val="Arial"/>
        <family val="2"/>
      </rPr>
      <t xml:space="preserve"> Das bis zur Pensionierung angesparte Kapital nennt man das Altersguthaben. Dieses Guthaben wird aus den jährlichen Altersgutschriften inklusive eines Zinses von mindestens 1 % (ab 2017) gebildet (2016: 1,25%; 2015: 1,75%). Die Höhe der Altersgutschriften wird in Prozenten des koordinierten Lohnes festgesetzt und richtet sich nach dem jeweiligen Alter und Geschlecht der/des Versicherten.</t>
    </r>
  </si>
  <si>
    <t>Falls Sie in der Vergangenheit erwerbstätig waren und PK-Beiträge gezahlt haben:
Wie lautet Ihr aktuelles Pensionskassenguthaben gemäss Vorsorgeausweis?</t>
  </si>
  <si>
    <t>5. Vorsorge dritte Säule (3a, private Vorsorge)</t>
  </si>
  <si>
    <t>Welchen Betrag werden Sie zukünftig jährlich in Ihre Säule 3a einzahlen?
(Aktuell sind für Angestellte maximal 6'883 CHF pro Jahr gesetzlich erlaubt.)</t>
  </si>
  <si>
    <r>
      <rPr>
        <u/>
        <sz val="12"/>
        <color theme="1"/>
        <rFont val="Arial"/>
        <family val="2"/>
      </rPr>
      <t>Bemerkung:</t>
    </r>
    <r>
      <rPr>
        <sz val="12"/>
        <color theme="1"/>
        <rFont val="Arial"/>
        <family val="2"/>
      </rPr>
      <t xml:space="preserve"> Hier geht es um einkommenssteuerliche Belange, ohne Berücksichtigung von Vermögensverhältnissen bzw. Vermögenssteuer. Generell können die Regelungen zwischen Kanon/Gemeinde und Bund leicht abweichen (z.B. Abzüge), was in der Schätzung nicht berücksichtigt wird.</t>
    </r>
  </si>
  <si>
    <t>Bitte machen Sie Angaben zu Ihrer letztjährigen Steuererklärung (bzw. zur Steuererklärung des Haushalts, in dem Sie besteuert wurden)</t>
  </si>
  <si>
    <t>Resultat: Geschätztes steuerbares Einkommen (Kanton und Gemeinde)</t>
  </si>
  <si>
    <t>Resultat: Geschätztes steuerbares Einkommen (Bund)</t>
  </si>
  <si>
    <r>
      <rPr>
        <u/>
        <sz val="12"/>
        <rFont val="Arial"/>
        <family val="2"/>
      </rPr>
      <t>Empfehlung:</t>
    </r>
    <r>
      <rPr>
        <sz val="12"/>
        <rFont val="Arial"/>
        <family val="2"/>
      </rPr>
      <t xml:space="preserve"> Verwenden Sie den folgenden Link, um zum Steuerrechner für Ihren Wohnort (PLZ) zu gelangen. Hier können Sie das geschätzte steuerbare Einkommen eingeben </t>
    </r>
    <r>
      <rPr>
        <sz val="12"/>
        <color rgb="FF0000FF"/>
        <rFont val="Arial"/>
        <family val="2"/>
      </rPr>
      <t>(blaue Resultate)</t>
    </r>
    <r>
      <rPr>
        <sz val="12"/>
        <rFont val="Arial"/>
        <family val="2"/>
      </rPr>
      <t xml:space="preserve">, um den zukünftigen Steuerbetrag der Einkommenssteuer abzuschätzen: </t>
    </r>
  </si>
  <si>
    <t>Geben Sie das steuerbare Einkommen der letztjährigen Steuererklärung ein:</t>
  </si>
  <si>
    <t>Geben Sie die Einkommenssteuer der letztjährigen Steuerrechnung ein:</t>
  </si>
  <si>
    <t>Geben Sie die Einkommenssteuer gemäss Ihrer letztjährigen Steuerrechnung ein
(bzw. der Steuerrechnung des Haushalts, in dem Sie besteuert wurden):</t>
  </si>
  <si>
    <t>Steuerbares Einkommen in Zukunft</t>
  </si>
  <si>
    <r>
      <t xml:space="preserve">Wie lautet der Brutto-Jahreslohn Ihrer Stelle bei der Spitex
</t>
    </r>
    <r>
      <rPr>
        <u/>
        <sz val="12"/>
        <color theme="1"/>
        <rFont val="Arial"/>
        <family val="2"/>
      </rPr>
      <t>auf 100% hochgerechnet</t>
    </r>
    <r>
      <rPr>
        <sz val="12"/>
        <color theme="1"/>
        <rFont val="Arial"/>
        <family val="2"/>
      </rPr>
      <t>?</t>
    </r>
  </si>
  <si>
    <t>Geschätzte Steuereffekte:</t>
  </si>
  <si>
    <t>8. Geschätzte Steuereffekte</t>
  </si>
  <si>
    <t>7. Geschätzte Steuereffekte</t>
  </si>
  <si>
    <t>Veränderung: Einkommenssteuer Kanton/Gemeinde</t>
  </si>
  <si>
    <t>Veränderung: Einkommenssteuer Bund</t>
  </si>
  <si>
    <t>Veränderung: Steuerbares Einkommen</t>
  </si>
  <si>
    <t>Wert</t>
  </si>
  <si>
    <t>Szenario B: Sie nehmen die zusätzliche Anstellung bei einem Spitex Betrieb an (und passen Ihren Beschäftigungsgrad bei der bisherigen Anstellung an)</t>
  </si>
  <si>
    <t>Szenario A: Sie führen Ihre bisherige Anstellung unverändert weiter (gleicher Beschäftigungsgrad)</t>
  </si>
  <si>
    <t>Steuerliche Abzüge für Nebenerwerb (20% des Nettolohns, maximal 2'400CHF)**:</t>
  </si>
  <si>
    <t>Veränderung Nett-Jahreslohn aufgrund Pensumsreduktion:</t>
  </si>
  <si>
    <t>Resultat: Prognostiziertes Guthaben bei Erreichen des Pensionsalters*</t>
  </si>
  <si>
    <t>*Zinseszinsrechnung (1% pro Jahr). Berücksichtigt nur volle Jahre.</t>
  </si>
  <si>
    <t xml:space="preserve">Tabelle mit Teilresultaten zum Altersguthaben aufgrund der zukünftigen Erwerbstätigkeit </t>
  </si>
  <si>
    <t>Mittlerer Satz für weitere Lohnabzüge (ALV, NBU, UVGZ, KTG)*:</t>
  </si>
  <si>
    <t>*Kann individuell etwas variieren.</t>
  </si>
  <si>
    <r>
      <rPr>
        <u/>
        <sz val="12"/>
        <color theme="1"/>
        <rFont val="Arial"/>
        <family val="2"/>
      </rPr>
      <t>Bemerkung:</t>
    </r>
    <r>
      <rPr>
        <sz val="12"/>
        <color theme="1"/>
        <rFont val="Arial"/>
        <family val="2"/>
      </rPr>
      <t xml:space="preserve"> Hier geht es um einkommenssteuerliche Belange, ohne Berücksichtigung von Vermögensverhältnissen bzw. Vermögenssteuer. Es ist möglich, dass sich aufgrund der Pensumsreduktion der bisherigen Anstellung die Abzüge aufgrund der Berufsauslagen reduzieren. Dies variiert von Kanton zu Kanton und ist abhängig von Fahrkosten, Verpflegungskosten, u.a. (ebenso können sich die Maximalabzüge zwischen Kanton und Bund unterscheiden). In diesem Fall wäre das steuerbare Einkommen um den entsprechenden Betrag höher als in der vorliegenden Schätzung angegeben. Generell können Abzüge zwischen Kanon/Gemeinde und Bund leicht abweichen, was in der Schätzung nicht berücksichtigt wird.</t>
    </r>
  </si>
  <si>
    <t>3a: Jährliche Einzahlung an private Vorsorge</t>
  </si>
  <si>
    <t>1. Anstellungsumfang</t>
  </si>
  <si>
    <t>Stunden pro Woche</t>
  </si>
  <si>
    <t>CHF pro Stunde</t>
  </si>
  <si>
    <t>CHF pro Jahr</t>
  </si>
  <si>
    <t>Wie lauten die dazugehörigen Soll-Stunden pro Jahr
gemäss Arbeitsvertrag dieser Person?</t>
  </si>
  <si>
    <t>Soll-Stunden pro Jahr</t>
  </si>
  <si>
    <r>
      <rPr>
        <u/>
        <sz val="12"/>
        <color theme="1"/>
        <rFont val="Arial"/>
        <family val="2"/>
      </rPr>
      <t>Eingabe/Referenz:</t>
    </r>
    <r>
      <rPr>
        <sz val="12"/>
        <color theme="1"/>
        <rFont val="Arial"/>
        <family val="2"/>
      </rPr>
      <t xml:space="preserve"> Wenn Sie hier nichts verändern, ist als Standardwert ein Jahreslohn von 72'898 CHF (LK 15) bereits eingegeben sowie 2'100 Soll-Stunden für eine 100%-Stelle.</t>
    </r>
  </si>
  <si>
    <t>Resultat: Stundenlohn</t>
  </si>
  <si>
    <t>Resultat: Jahreslohn</t>
  </si>
  <si>
    <t>Resultat: Jahreslohn auf 100% (42h-Woche) gerechnet</t>
  </si>
  <si>
    <t>Resultat: Jahreslohn auf 100% (2'100 Soll-Stunden) gerechnet</t>
  </si>
  <si>
    <t>% vom Lohn</t>
  </si>
  <si>
    <r>
      <t xml:space="preserve">Welchen </t>
    </r>
    <r>
      <rPr>
        <u/>
        <sz val="12"/>
        <color theme="1"/>
        <rFont val="Arial"/>
        <family val="2"/>
      </rPr>
      <t>Prozentsatz der Lohnsumme</t>
    </r>
    <r>
      <rPr>
        <sz val="12"/>
        <color theme="1"/>
        <rFont val="Arial"/>
        <family val="2"/>
      </rPr>
      <t xml:space="preserve"> (brutto gemäss Arbeitsvertrag) zahlen Sie
als Versicherungsprämie gegen Berufsunfall (UVG)?</t>
    </r>
  </si>
  <si>
    <t>Falls ja: Welchen Prozentsatz der Lohnsumme (brutto gemäss Arbeitsvertrag) zahlen Sie als Versicherungsprämie für das Krankentaggeld?</t>
  </si>
  <si>
    <t>Resultat: Kosten Berufsunfall-Versicherung (Arbeitgeberbeitrag)</t>
  </si>
  <si>
    <t>Resultat: Kosten Krankentaggeld-Versicherung (Arbeitgeberbeitrag)</t>
  </si>
  <si>
    <t>*Monatslohn unter 12'350 CHF (somit entfällt ALV 2).</t>
  </si>
  <si>
    <t>Jahre</t>
  </si>
  <si>
    <t>Resultat: Kosten AHV/IV/EO (Arbeitgeberbeitrag)</t>
  </si>
  <si>
    <t>Resultat: Kosten ALV (Arbeitgeberbeitrag)*</t>
  </si>
  <si>
    <t>Resultat: Kosten berufliche Vorsorge nach BVG (Arbeitgeberbeitrag)</t>
  </si>
  <si>
    <t>Nicht versicherungspflichtig sind u.a.:
- Befristete Arbeitsverträge für höchstens drei Monate
- Personen, die nebenberuflich bei Ihnen tätig sind und im Hauptberuf selbständig erwerbend sind
- Personen, die nebenberuflich bei Ihnen tätig sind und im Hauptberuf bereits obligatorisch versichert sind</t>
  </si>
  <si>
    <t>CHF einmalig pro Einstellung</t>
  </si>
  <si>
    <t>CHF pro Tag und Haushalt</t>
  </si>
  <si>
    <t>8. Abschliessende Übersicht</t>
  </si>
  <si>
    <t>AHV/IV/EO</t>
  </si>
  <si>
    <t>ALV</t>
  </si>
  <si>
    <t>UVG (Berufsunfall)</t>
  </si>
  <si>
    <t>KTG (nicht obligatorisch)</t>
  </si>
  <si>
    <t>Einmalig anfallender Aufwand bei der Einstellung wie z.B. Einstellungsgespräch, Einarbeitung/Erklärungen, etc.</t>
  </si>
  <si>
    <t>Regelmässig anfallender Personalaufwand wie z.B. Lohnabrechnungen, Personalgespräch, etc.</t>
  </si>
  <si>
    <t>Lohnaufwand total inkl. Arbeitgeberbeiträgen</t>
  </si>
  <si>
    <t>Übriger Personalaufwand pro Jahr</t>
  </si>
  <si>
    <t>Einmaliger Personalaufwand bei Einstellung/Einarbeitung</t>
  </si>
  <si>
    <t>Stundenlohn gemäss Arbeitsvertrag inkl. Arbeitnehmerbeiträgen</t>
  </si>
  <si>
    <r>
      <t xml:space="preserve">Kostenvergleich Grundpflege </t>
    </r>
    <r>
      <rPr>
        <u/>
        <sz val="12"/>
        <rFont val="Arial"/>
        <family val="2"/>
      </rPr>
      <t>pro Monat</t>
    </r>
    <r>
      <rPr>
        <sz val="12"/>
        <rFont val="Arial"/>
        <family val="2"/>
      </rPr>
      <t xml:space="preserve"> (spezifischer Haushalt):</t>
    </r>
  </si>
  <si>
    <t>Mal pro Woche</t>
  </si>
  <si>
    <t>Muss die/der betreuende Angehörige für die Grundpflege zum Haushalt der/des Patientin/Patienten anreisen, da sie nicht zusammenwohnen?</t>
  </si>
  <si>
    <t>Anreisen pro Woche (regelmässig)</t>
  </si>
  <si>
    <t>Differenz</t>
  </si>
  <si>
    <t>Vorher</t>
  </si>
  <si>
    <t>Nachher</t>
  </si>
  <si>
    <t>Keine</t>
  </si>
  <si>
    <t>Resultat: Veränderung der Anreisen mit Reiseweg zum Haushalt
pro Woche durch Angestellte Ihres Betriebs (insgesamt)</t>
  </si>
  <si>
    <r>
      <t xml:space="preserve">Anreise mit Reiseweg </t>
    </r>
    <r>
      <rPr>
        <u/>
        <sz val="12"/>
        <rFont val="Arial"/>
        <family val="2"/>
      </rPr>
      <t>pro Monat</t>
    </r>
    <r>
      <rPr>
        <sz val="12"/>
        <rFont val="Arial"/>
        <family val="2"/>
      </rPr>
      <t xml:space="preserve"> (spezifischer Haushalt):</t>
    </r>
  </si>
  <si>
    <t>Anzahl Anreisen im Schnitt</t>
  </si>
  <si>
    <t>Arbeitgeberbeitrag berufliche Vorsorge (BVG)</t>
  </si>
  <si>
    <t>2. Administrativer Aufwand</t>
  </si>
  <si>
    <t>3. Lohn gemäss Arbeitsvertrag mit Arbeitnehmer(in) (brutto)</t>
  </si>
  <si>
    <t>4. Sozialversicherungsabgaben Arbeitgeber</t>
  </si>
  <si>
    <t>5. Beiträge berufliche Vorsorge Arbeitgeber (BVG)</t>
  </si>
  <si>
    <r>
      <rPr>
        <u/>
        <sz val="12"/>
        <color theme="1"/>
        <rFont val="Arial"/>
        <family val="2"/>
      </rPr>
      <t>Hinweis:</t>
    </r>
    <r>
      <rPr>
        <sz val="12"/>
        <color theme="1"/>
        <rFont val="Arial"/>
        <family val="2"/>
      </rPr>
      <t xml:space="preserve"> Bitte schätzen Sie die folgenden Aufwände grob ein.</t>
    </r>
  </si>
  <si>
    <t xml:space="preserve">Pflegende(r)  Angehörige(r) </t>
  </si>
  <si>
    <t>Pflegefachperson</t>
  </si>
  <si>
    <r>
      <t xml:space="preserve">Administrativer Personalaufwand </t>
    </r>
    <r>
      <rPr>
        <u/>
        <sz val="12"/>
        <rFont val="Arial"/>
        <family val="2"/>
      </rPr>
      <t>pro angestellter Person</t>
    </r>
    <r>
      <rPr>
        <sz val="12"/>
        <rFont val="Arial"/>
        <family val="2"/>
      </rPr>
      <t>:</t>
    </r>
  </si>
  <si>
    <r>
      <t xml:space="preserve">Lohnkosten Grundpflege </t>
    </r>
    <r>
      <rPr>
        <u/>
        <sz val="12"/>
        <rFont val="Arial"/>
        <family val="2"/>
      </rPr>
      <t>pro Stunde</t>
    </r>
    <r>
      <rPr>
        <sz val="12"/>
        <rFont val="Arial"/>
        <family val="2"/>
      </rPr>
      <t>:</t>
    </r>
  </si>
  <si>
    <t>Differenz: Nachher - Vorher</t>
  </si>
  <si>
    <t>Bitte füllen Sie nur die rot umrahmten Zellen aus. Kommastellen bitte mit einem Punkt eingeben (anstatt einem Komma).</t>
  </si>
  <si>
    <t>Umfang der Grundpflege im spezifischen Haushalt:</t>
  </si>
  <si>
    <r>
      <rPr>
        <u/>
        <sz val="12"/>
        <rFont val="Arial"/>
        <family val="2"/>
      </rPr>
      <t>Vergütung</t>
    </r>
    <r>
      <rPr>
        <sz val="12"/>
        <rFont val="Arial"/>
        <family val="2"/>
      </rPr>
      <t xml:space="preserve"> Wegpauschalen durch Kanton/Gemeinde/Patient(in)</t>
    </r>
  </si>
  <si>
    <t>Allgemeine Kennzahlen:</t>
  </si>
  <si>
    <t>Vergütet der betreffende Kanton/die Gemeinde (ggf. zusammen mit der/dem Patientin/Patienten) grundsätzlich eine Wegpauschale an Sie?</t>
  </si>
  <si>
    <t>Sozialversicherungsabgaben Arbeitgeber</t>
  </si>
  <si>
    <t>Link zur online ESCAL Rentenschätzung:</t>
  </si>
  <si>
    <t>Bitte diesen Link aufrufen, auf "ESCAL Rentenschätzung" klicken, das Formular ausfüllen und den resultierenden Betrag (grüne Angabe "monatlicher Rentenbetrag ab...") wieder ins Excel eintragen.</t>
  </si>
  <si>
    <r>
      <rPr>
        <b/>
        <sz val="12"/>
        <color theme="1"/>
        <rFont val="Arial"/>
        <family val="2"/>
      </rPr>
      <t>a) Krankentaggeld und Krankentaggeldversicherung:</t>
    </r>
    <r>
      <rPr>
        <sz val="12"/>
        <color theme="1"/>
        <rFont val="Arial"/>
        <family val="2"/>
      </rPr>
      <t xml:space="preserve">
Art. 324a OR: Grundsatz bei Verhinderung des Arbeitnehmers
Wird der Arbeitnehmer aus Gründen, die in seiner Person liegen, wie Krankheit, Unfall, Erfüllung gesetzlicher Pflichten oder Ausübung eines öffentlichen Amtes, ohne sein Verschulden an der Arbeitsleistung verhindert, so hat ihm der Arbeitgeber für eine beschränkte Zeit den darauf entfallenden Lohn zu entrichten, samt einer angemessenen Vergütung für ausfallenden Naturallohn, sofern das Arbeitsverhältnis mehr als drei Monate gedauert hat oder für mehr als drei Monate eingegangen ist. 
Die Mindestdauer beträgt aber gemäss Gerichtspraxis 3 Wochen im 1. Dienstjahr. Quelle:
</t>
    </r>
  </si>
  <si>
    <t>Qualifizierte Pflegefachkraft im Jahreslohn (Festanstellung)</t>
  </si>
  <si>
    <t>Wird trotzdem weiterhin auch eine qualifizierte Pflegefachkraft Ihres Betriebs
den betreffenden Haushalt regelmässig wöchentlich besuchen
(z.B. für Leistungen gemäss KLV Art. 7 Abs. 2 Ziffer b)?</t>
  </si>
  <si>
    <t>6. Weitere Sozialversicherungen</t>
  </si>
  <si>
    <t>7. Weitere Sozialversicherungen</t>
  </si>
  <si>
    <t>Geben Sie den Jahreslohn* einer qualifizierten Pflegefachkraft in Ihrem Betrieb ein,
mit der Sie vergleichen möchten:
*Brutto, d.h. vom Betrag, den Sie hier eingeben, wird der Nettolohn an die/den Arbeitnehmer(in) gezahlt sowie die Arbeitnehmerbeiträge an die Sozialversicherungen (und ggf. die Arbeitnehmerbeiträge an die soziale Vorsorge (2. Säule), sofern das Einkommen hoch genug ist für eine Versicherungspflicht).</t>
  </si>
  <si>
    <r>
      <rPr>
        <b/>
        <u/>
        <sz val="12"/>
        <color theme="1"/>
        <rFont val="Arial"/>
        <family val="2"/>
      </rPr>
      <t>Erklärung:</t>
    </r>
    <r>
      <rPr>
        <sz val="12"/>
        <color theme="1"/>
        <rFont val="Arial"/>
        <family val="2"/>
      </rPr>
      <t xml:space="preserve">
Diese Variante 2 des Tools ist für </t>
    </r>
    <r>
      <rPr>
        <b/>
        <sz val="12"/>
        <color theme="1"/>
        <rFont val="Arial"/>
        <family val="2"/>
      </rPr>
      <t>pflegende Angehörige, die nicht erwerbstätig sind und durch eine Anstellung bei der Spitex in den Arbeitsmarkt eintreten werden</t>
    </r>
    <r>
      <rPr>
        <sz val="12"/>
        <color theme="1"/>
        <rFont val="Arial"/>
        <family val="2"/>
      </rPr>
      <t>. Für sie lautet die zentrale Frage:</t>
    </r>
    <r>
      <rPr>
        <i/>
        <sz val="12"/>
        <color theme="1"/>
        <rFont val="Arial"/>
        <family val="2"/>
      </rPr>
      <t xml:space="preserve"> «Wie profitiere ich von der Anstellung?»</t>
    </r>
    <r>
      <rPr>
        <sz val="12"/>
        <color theme="1"/>
        <rFont val="Arial"/>
        <family val="2"/>
      </rPr>
      <t xml:space="preserve"> 
Die pflegenden Angehörigen können durch Eingabe ihrer individuellen Situation (u.a. Lohnniveau, Stellenprozente, Steuerlast und Sozial- und Vorsorgebeiträge) die finanziellen Effekte im Tool simulieren.    
Das Tool eignet sich für Personen, die:
(1.) Mindestens 25 Jahre alt sind (Vorsorgebeiträge).
(2.) Noch nicht das Pensionsalter erreicht haben (Frauen unter 64 Jahren, Männer unter 65 Jahren).
(3.) Über die Schweizer Staatsbürgerschaft oder die C-Niederlassungsbewilligung verfügen. 
Ihre vollkommene Anonymität ist gewährleistet, da das Excel-Dokument auf den eigenen Computer heruntergeladen und lokal verwendet werden kann. (Nach dem abgeschlossenem Download ist keine Internetverbindung mehr nötig.) 
Sämtliche Resultate dieses Tools sind unverbindliche Schätzungen.</t>
    </r>
  </si>
  <si>
    <r>
      <rPr>
        <b/>
        <u/>
        <sz val="12"/>
        <color theme="1"/>
        <rFont val="Arial"/>
        <family val="2"/>
      </rPr>
      <t>Erklärung:</t>
    </r>
    <r>
      <rPr>
        <sz val="12"/>
        <color theme="1"/>
        <rFont val="Arial"/>
        <family val="2"/>
      </rPr>
      <t xml:space="preserve">
Diese Variante 1 des Tools ist für </t>
    </r>
    <r>
      <rPr>
        <b/>
        <sz val="12"/>
        <color theme="1"/>
        <rFont val="Arial"/>
        <family val="2"/>
      </rPr>
      <t>pflegende Angehörige, die bereits erwerbstätig sind und ihr Pensum reduzieren, um sich bei der Spitex anstellen zu lassen</t>
    </r>
    <r>
      <rPr>
        <sz val="12"/>
        <color theme="1"/>
        <rFont val="Arial"/>
        <family val="2"/>
      </rPr>
      <t>. Für sie lautet die zentrale Frage:</t>
    </r>
    <r>
      <rPr>
        <i/>
        <sz val="12"/>
        <color theme="1"/>
        <rFont val="Arial"/>
        <family val="2"/>
      </rPr>
      <t xml:space="preserve"> «Was bringt mir/kostet mich diese Veränderung finanziell?»</t>
    </r>
    <r>
      <rPr>
        <sz val="12"/>
        <color theme="1"/>
        <rFont val="Arial"/>
        <family val="2"/>
      </rPr>
      <t xml:space="preserve"> 
Je nach Anstellungsbedingungen der bisherigen Arbeit könnte es zu einer Einbusse an Lohn und Sozialleistungen kommen. Die pflegenden Angehörigen können durch Eingabe ihrer individuellen Situation (u.a. Lohnniveau, Stellenprozente, Steuerlast und Sozial- und Vorsorgebeiträge) die finanziellen Effekte im Tool simulieren.    
Das Tool eignet sich für Personen, die:
(1.) Mindestens 25 Jahre alt sind (Vorsorgebeiträge).
(2.) Noch nicht das Pensionsalter erreicht haben (Frauen unter 64 Jahren, Männer unter 65 Jahren).
(3.) Über die Schweizer Staatsbürgerschaft oder die C-Niederlassungsbewilligung verfügen. 
Ihre vollkommene Anonymität ist gewährleistet, da das Excel-Dokument auf den eigenen Computer heruntergeladen und lokal verwendet werden kann. (Nach abgeschlossenem Download ist keine Internetverbindung mehr nötig.) 
Sämtliche Resultate dieses Tools sind unverbindliche Schätzungen.</t>
    </r>
  </si>
  <si>
    <t>Geben Sie das steuerbare Einkommen gemäss Ihrer letztjährigen Steuererklärung ein (bzw. der Steuererklärung des Haushalts, in dem Sie besteuert wurden):</t>
  </si>
  <si>
    <r>
      <rPr>
        <u/>
        <sz val="12"/>
        <color theme="1"/>
        <rFont val="Arial"/>
        <family val="2"/>
      </rPr>
      <t>Lesebeispiel</t>
    </r>
    <r>
      <rPr>
        <sz val="12"/>
        <color theme="1"/>
        <rFont val="Arial"/>
        <family val="2"/>
      </rPr>
      <t xml:space="preserve"> (Spitex Kanton Thurgau): Sie können sich an Seiten 2 und 3 orientieren (bei entsprechender Ausbildung auch 4 und 5). Für Personen mit abgeschlossenem Basiskurs für Haushelfer*innen gelten die LK 3-5 und somit ein Brutto-Jahreslohn (100%) von 43'988.50 CHF als Referenz. Bei abgeschlossenem Kurs Pflegehelfer*in SRK gelten die LK 4-5 und somit ein Brutto-Jahreslohn (100%) von 45‘217.40 CHF als Referenz. Usw.</t>
    </r>
  </si>
  <si>
    <t>Altersguthaben: Das bis zur Pensionierung angesparte Kapital nennt man das Altersguthaben. Dieses Guthaben wird aus den jährlichen Altersgutschriften inklusive eines Zinses von mindestens 1% (ab 2017) gebildet (2016: 1,25%; 2015: 1,75%). Die Höhe der Altersgutschriften wird in Prozenten des koordinierten Lohnes festgesetzt und richtet sich nach dem jeweiligen Alter und Geschlecht der/des Versicherten.</t>
  </si>
  <si>
    <r>
      <rPr>
        <u/>
        <sz val="12"/>
        <color theme="1"/>
        <rFont val="Arial"/>
        <family val="2"/>
      </rPr>
      <t>Erklärung:</t>
    </r>
    <r>
      <rPr>
        <sz val="12"/>
        <color theme="1"/>
        <rFont val="Arial"/>
        <family val="2"/>
      </rPr>
      <t xml:space="preserve"> Versicherungspflicht: Zur Versicherung durch die berufliche Vorsorge gemäss BVG (zweite Säule) sind alle Arbeitnehmer*innen verpflichtet, die bei der AHV versichert sind und eine Arbeitsstelle mit einem </t>
    </r>
    <r>
      <rPr>
        <i/>
        <u/>
        <sz val="12"/>
        <color theme="1"/>
        <rFont val="Arial"/>
        <family val="2"/>
      </rPr>
      <t>Brutto-Jahreslohn von mehr als 21’510 CHF</t>
    </r>
    <r>
      <rPr>
        <sz val="12"/>
        <color theme="1"/>
        <rFont val="Arial"/>
        <family val="2"/>
      </rPr>
      <t xml:space="preserve"> (Stand 2021) haben. Der Jahreslohn wird nicht über mehrere Anstellungen aufsummiert. (Bei zwei Stellen mit z.B. je 20'000 CHF ist man deshalb nicht verpflichtet.) Wer nicht versicherungspflichtig ist, sich aber dennoch versichern möchte, kann dies bei der </t>
    </r>
    <r>
      <rPr>
        <i/>
        <sz val="12"/>
        <color theme="1"/>
        <rFont val="Arial"/>
        <family val="2"/>
      </rPr>
      <t>Stiftung BVG Auffangeinrichtung</t>
    </r>
    <r>
      <rPr>
        <sz val="12"/>
        <color theme="1"/>
        <rFont val="Arial"/>
        <family val="2"/>
      </rPr>
      <t xml:space="preserve"> tun (oder bei der vom eigenen Arbeitgeber vorgesehenen Einrichtung, sofern vorhanden). Weitere Informationen hierzu:</t>
    </r>
  </si>
  <si>
    <t>Viele Arbeitgeber schliessen eine Krankentaggeldversicherung ab, um Ihren Mitarbeitenden auch bei längeren Abwesenheiten 80% des Lohnes bezahlen zu können. Die Prämien sind mindestens zur Hälfte vom Arbeitgeber zu tragen. Bei Arbeitsunfähigkeit dauert die Lohnfortzahlung bis Sie wieder arbeitsfähig sind maximal aber 720 Tage innerhalb von 900 aufeinander folgenden Tagen. Konsultieren Sie Ihr Arbeitsreglement, um herauszufinden, welche Regelungen in Ihrem Betrieb gelten.
Kündigung während Arbeitsunfähigkeit:
Wenn Sie infolge Krankheit krankgeschrieben sind, kann Ihnen Ihr Arbeitgeber während dieser Zeit nicht kündigen, und zwar im ersten Dienstjahr während 30 Tagen, ab dem zweitem bis und mit fünftem Dienstjahr während 90 Tagen und ab dem sechstem Dienstjahr während 180 Tagen. Ebenso haben Sie Kündigungsschutz während einer Schwangerschaft und den ersten 16 Wochen nach der Niederkunft. Wenn Sie während der Probezeit krank werden, besteht kein Kündigungsschutz. Quelle:</t>
  </si>
  <si>
    <t>Für welchen Umfang an Grundpflege möchten Sie eine*n pflegende*n Angehörige*n anstellen, die/der ihre/seine Leistungen in einem spezifischen Haushalt erbringt?
(Sie/er kann selbst dort wohnhaft sein oder anderswo.)</t>
  </si>
  <si>
    <t>Pflegende*r Angehörige*r im Stundenlohn</t>
  </si>
  <si>
    <r>
      <t>Zu welchem Stundenlohn* würden Sie die/den pflegende*n Angehörige*n anstellen?
*Brutto, d.h. vom Betrag, den Sie hier eingeben, wird der Nettolohn an die/den Arbeitnehmer*in gezahlt sowie die Arbeit</t>
    </r>
    <r>
      <rPr>
        <u/>
        <sz val="12"/>
        <color theme="1"/>
        <rFont val="Arial"/>
        <family val="2"/>
      </rPr>
      <t>nehmer</t>
    </r>
    <r>
      <rPr>
        <sz val="12"/>
        <color theme="1"/>
        <rFont val="Arial"/>
        <family val="2"/>
      </rPr>
      <t>beiträge an die Sozialversicherungen (und ggf. die Arbeit</t>
    </r>
    <r>
      <rPr>
        <u/>
        <sz val="12"/>
        <color theme="1"/>
        <rFont val="Arial"/>
        <family val="2"/>
      </rPr>
      <t>nehmer</t>
    </r>
    <r>
      <rPr>
        <sz val="12"/>
        <color theme="1"/>
        <rFont val="Arial"/>
        <family val="2"/>
      </rPr>
      <t>beiträge an die soziale Vorsorge (2. Säule), sofern das Einkommen hoch genug ist für eine Versicherungspflicht).</t>
    </r>
  </si>
  <si>
    <r>
      <rPr>
        <u/>
        <sz val="12"/>
        <color theme="1"/>
        <rFont val="Arial"/>
        <family val="2"/>
      </rPr>
      <t>Eingabe/Referenz:</t>
    </r>
    <r>
      <rPr>
        <sz val="12"/>
        <color theme="1"/>
        <rFont val="Arial"/>
        <family val="2"/>
      </rPr>
      <t xml:space="preserve"> Bitte geben Sie möglichst genau den Stundenlohn ein, den Sie zahlen würden. Ansonsten ist als Standardwert ein Stundenlohn von 20.14 CHF bereits eingegeben. Dieser folgt dem Beispiel der Spitex des Kantons Thurgau, siehe Seiten 2 und 3 im Dokument unter dem folgenden Link. Dabei wird für Personen mit abgeschlossenem Basiskurs für Haushelfer*innen von LK 3-5 und somit einem Brutto-Jahreslohn (100%) von 43'988.50 CHF bei 260 Arbeitstagen pro Jahr und 8.4 Stunden pro Tag ausgegangen. Bei abgeschlossenem Kurs Pflegehelfer*in SRK wären die LK 4-5 und somit ein Stundenlohn von 21 CHF (aufgerundet) bzw. ein Brutto-Jahreslohn (100%) von 45‘217.40 CHF die Referenz.</t>
    </r>
  </si>
  <si>
    <t>Machen Sie für den Arbeitnehmenden eine Krankentaggeld-Versicherung (KTG), deren Prämie zu Ihren Lasten (oder zum Teil zu Ihren Lasten) geht?</t>
  </si>
  <si>
    <t>Machen Sie für die/den Arbeitnehmer*in eine Krankentaggeld-Versicherung (KTG), deren Prämie zu Ihren Lasten (oder zum Teil zu Ihren Lasten) geht?</t>
  </si>
  <si>
    <t>Den spezifischen Haushalt/Patient*in betreffend:</t>
  </si>
  <si>
    <t>Kalkulationstool Variante 3: Für Spitex-Betriebe, die erwägen, eine*n pflegende*n Angehörige*n im Stundenlohn für die Grundpflege einer nahestehenden Person anzustellen.</t>
  </si>
  <si>
    <t>Kalkulationstool Variante 2: Für aktuell nicht erwerbstätige pflegende Angehörige, die eine Anstellung bei einer Spitex-Organisation erwägen.</t>
  </si>
  <si>
    <t>Kalkulationstool Variante 1: Für aktuell erwerbstätige pflegende Angehörige, die eine zusätzliche Anstellung bei einer Spitex-Organisation erwägen.</t>
  </si>
  <si>
    <t>Szenario B: Sie nehmen die zusätzliche Anstellung bei einem Spitex-Betrieb an (und passen Ihren Beschäftigungsgrad bei der bisherigen Anstellung an)</t>
  </si>
  <si>
    <t>Resultate: Zukünftige Anstellung bei Spitex-Betrieb</t>
  </si>
  <si>
    <t>6. Anzahl Besuche betreffender Haushalt/Patient*in</t>
  </si>
  <si>
    <t>An wie vielen Tagen pro Woche wurde der betreffende Haushalt/Patient*in
bisher von Mitarbeitenden Ihres Betriebs regelmässig besucht?</t>
  </si>
  <si>
    <r>
      <rPr>
        <u/>
        <sz val="12"/>
        <color theme="1"/>
        <rFont val="Arial"/>
        <family val="2"/>
      </rPr>
      <t>Empfehlung:</t>
    </r>
    <r>
      <rPr>
        <sz val="12"/>
        <color theme="1"/>
        <rFont val="Arial"/>
        <family val="2"/>
      </rPr>
      <t xml:space="preserve"> Falls Sie mit einem Spitex-Betrieb in Kontakt stehen, bitten Sie diesen darum, Ihren zukünftigen Brutto-Jahreslohn für ein 100%-Pensum zu berechnen. Anderenfalls bestimmen Sie den Brutto-Jahreslohn für ein 100%-Pensum anhand folgender Tabelle (Beispiel für Spitex Kanton Thurgau). Berücksichtigen Sie dabei Ihre spezifische Ausbildung (primär, sekundär, tertiär) im Bereich Pflege und Betreuung:</t>
    </r>
  </si>
  <si>
    <r>
      <rPr>
        <u/>
        <sz val="12"/>
        <color theme="1"/>
        <rFont val="Arial"/>
        <family val="2"/>
      </rPr>
      <t>Empfehlung:</t>
    </r>
    <r>
      <rPr>
        <sz val="12"/>
        <color theme="1"/>
        <rFont val="Arial"/>
        <family val="2"/>
      </rPr>
      <t xml:space="preserve"> Falls Sie mit einem Spitex-Betrieb in Kontakt stehen, bitten Sie diesen darum, Ihren zukünftigen Brutto-Jahreslohn für ein 100%-Pensum zu berechnen. Anderenfalls bestimmen Sie den Brutto-Jahreslohn für ein 100%-Pensum anhand folgender Tabelle  im nachfolgenden Link (Beispiel für Spitex Kanton Thurgau). Berücksichtigen Sie dabei Ihre spezifische Ausbildung (primär, sekundär, tertiär) im Bereich Pflege und Betreuung:</t>
    </r>
  </si>
  <si>
    <t>Szenario B: Sie nehmen die zusätzliche Anstellung bei einem-Spitex Betrieb an (und passen Ihren Beschäftigungsgrad bei der bisherigen Anstellung an)</t>
  </si>
  <si>
    <r>
      <rPr>
        <b/>
        <u/>
        <sz val="12"/>
        <color theme="1"/>
        <rFont val="Arial"/>
        <family val="2"/>
      </rPr>
      <t>Erklärung:</t>
    </r>
    <r>
      <rPr>
        <sz val="12"/>
        <color theme="1"/>
        <rFont val="Arial"/>
        <family val="2"/>
      </rPr>
      <t xml:space="preserve">
Diese Variante 3 des Tools ist für </t>
    </r>
    <r>
      <rPr>
        <b/>
        <sz val="12"/>
        <color theme="1"/>
        <rFont val="Arial"/>
        <family val="2"/>
      </rPr>
      <t xml:space="preserve">Spitex-Betriebe, welche die Anstellung einer oder eines pflegenden Angehörigen für die </t>
    </r>
    <r>
      <rPr>
        <b/>
        <u/>
        <sz val="12"/>
        <color theme="1"/>
        <rFont val="Arial"/>
        <family val="2"/>
      </rPr>
      <t>Grundpflege (gemäss Art. 7 Abs. 2 Ziffer c KLV)</t>
    </r>
    <r>
      <rPr>
        <b/>
        <sz val="12"/>
        <color theme="1"/>
        <rFont val="Arial"/>
        <family val="2"/>
      </rPr>
      <t xml:space="preserve"> mit einer bereits festangestellten qualifizierten Pflegefachkraft im Jahreslohn z. B. dipl. Pflegefachperson HF  vergleicht</t>
    </r>
    <r>
      <rPr>
        <sz val="12"/>
        <color theme="1"/>
        <rFont val="Arial"/>
        <family val="2"/>
      </rPr>
      <t>. (Für das Erbringen von Leistungen gemäss Art. 7 Abs. 2 Ziffern a und b KLV durch pflegende Angehörige ist das Tool nicht vorgesehen.) Für sie lautet die zentrale Frage:</t>
    </r>
    <r>
      <rPr>
        <i/>
        <sz val="12"/>
        <color theme="1"/>
        <rFont val="Arial"/>
        <family val="2"/>
      </rPr>
      <t xml:space="preserve"> «Was kostet mich die Anstellung der oder des pflegenden Angehörigen im Vergleich zu meinen qualifizierten Pflegefachkräften?»</t>
    </r>
    <r>
      <rPr>
        <sz val="12"/>
        <color theme="1"/>
        <rFont val="Arial"/>
        <family val="2"/>
      </rPr>
      <t xml:space="preserve"> 
Die Spitex-Betriebe können durch Eingabe individueller Parameter (u.a. Anstellungsumfang, Lohnaufwand, Sozialversicherungsbeiträge, Vorsorge, administrativer Aufwand) die finanziellen Effekte im Tool simulieren.    
Das Tool eignet sich bezüglich Personen, die:
(1.) Mindestens 25 Jahre alt sind (Vorsorgebeiträge).
(2.) Noch nicht das Pensionsalter erreicht haben (Frauen unter 64 Jahren, Männer unter 65 Jahren).
(3.) Über die Schweizer Staatsbürgerschaft oder die C-Niederlassungsbewilligung verfügen. 
Ihre vollkommene Anonymität ist gewährleistet, da das Excel-Dokument auf den eigenen Computer heruntergeladen und lokal verwendet werden kann. (Nach dem abgeschlossenem Download ist keine Internetverbindung mehr nötig.) 
Sämtliche Resultate dieses Tools sind unverbindliche Schätzungen.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</si>
</sst>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 &quot;CHF&quot;;\-#,##0\ &quot;CHF&quot;"/>
    <numFmt numFmtId="166" formatCode="\+#,##0\ &quot;CHF&quot;;\-#,##0\ &quot;CHF&quot;"/>
    <numFmt numFmtId="167" formatCode="0.0"/>
    <numFmt numFmtId="168" formatCode="#,##0.0"/>
    <numFmt numFmtId="169" formatCode="#,##0.00\ &quot;CHF&quot;;\-#,##0.00\ &quot;CHF&quot;"/>
    <numFmt numFmtId="170" formatCode="\+#,##0;\-#,##0"/>
    <numFmt numFmtId="171" formatCode="\+#,##0.0;\-#,##0.0"/>
    <numFmt numFmtId="172" formatCode="\+#,##0.00\ &quot;CHF&quot;;\-#,##0.00\ &quot;CHF&quot;"/>
    <numFmt numFmtId="173" formatCode="#,##0\ &quot;CHF&quot;;#,##0\ &quot;CHF&quot;"/>
  </numFmts>
  <fonts count="34"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Arial"/>
      <family val="2"/>
    </font>
    <font>
      <i/>
      <sz val="12"/>
      <color theme="1"/>
      <name val="Arial"/>
      <family val="2"/>
    </font>
    <font>
      <b/>
      <sz val="12"/>
      <color theme="1"/>
      <name val="Arial"/>
      <family val="2"/>
    </font>
    <font>
      <sz val="12"/>
      <color theme="1"/>
      <name val="Arial"/>
      <family val="2"/>
    </font>
    <font>
      <sz val="12"/>
      <color rgb="FFFF0000"/>
      <name val="Arial"/>
      <family val="2"/>
    </font>
    <font>
      <b/>
      <i/>
      <sz val="12"/>
      <color theme="1"/>
      <name val="Arial"/>
      <family val="2"/>
    </font>
    <font>
      <u/>
      <sz val="12"/>
      <color theme="1"/>
      <name val="Arial"/>
      <family val="2"/>
    </font>
    <font>
      <sz val="12"/>
      <name val="Arial"/>
      <family val="2"/>
    </font>
    <font>
      <i/>
      <u/>
      <sz val="12"/>
      <color theme="1"/>
      <name val="Arial"/>
      <family val="2"/>
    </font>
    <font>
      <u/>
      <sz val="12"/>
      <color theme="10"/>
      <name val="Arial"/>
      <family val="2"/>
    </font>
    <font>
      <u/>
      <sz val="12"/>
      <color theme="10"/>
      <name val="Calibri"/>
      <family val="2"/>
    </font>
    <font>
      <u/>
      <sz val="10.1"/>
      <color theme="10"/>
      <name val="Arial"/>
      <family val="2"/>
    </font>
    <font>
      <sz val="12"/>
      <color rgb="FF0000FF"/>
      <name val="Arial"/>
      <family val="2"/>
    </font>
    <font>
      <sz val="12"/>
      <color theme="0" tint="-0.499984740745262"/>
      <name val="Arial"/>
      <family val="2"/>
    </font>
    <font>
      <sz val="12"/>
      <color rgb="FFCC0099"/>
      <name val="Arial"/>
      <family val="2"/>
    </font>
    <font>
      <u/>
      <sz val="12"/>
      <name val="Arial"/>
      <family val="2"/>
    </font>
    <font>
      <b/>
      <sz val="12"/>
      <name val="Arial"/>
      <family val="2"/>
    </font>
    <font>
      <u/>
      <sz val="10.1"/>
      <color theme="10"/>
      <name val="Calibri"/>
      <family val="2"/>
    </font>
    <font>
      <u/>
      <sz val="11"/>
      <color theme="10"/>
      <name val="Calibri"/>
      <family val="2"/>
    </font>
    <font>
      <b/>
      <u/>
      <sz val="12"/>
      <color theme="1"/>
      <name val="Arial"/>
      <family val="2"/>
    </font>
    <font>
      <b/>
      <sz val="16"/>
      <color theme="1"/>
      <name val="Arial"/>
      <family val="2"/>
    </font>
    <font>
      <i/>
      <sz val="12"/>
      <color theme="0" tint="-0.499984740745262"/>
      <name val="Arial"/>
      <family val="2"/>
    </font>
    <font>
      <b/>
      <i/>
      <sz val="14"/>
      <color theme="1"/>
      <name val="Arial"/>
      <family val="2"/>
    </font>
    <font>
      <i/>
      <sz val="11"/>
      <name val="Arial"/>
      <family val="2"/>
    </font>
    <font>
      <i/>
      <sz val="11"/>
      <color theme="1"/>
      <name val="Arial"/>
      <family val="2"/>
    </font>
    <font>
      <sz val="11"/>
      <name val="Arial"/>
      <family val="2"/>
    </font>
    <font>
      <sz val="11"/>
      <color theme="1"/>
      <name val="Arial"/>
      <family val="2"/>
    </font>
    <font>
      <b/>
      <i/>
      <sz val="13"/>
      <color theme="1"/>
      <name val="Arial"/>
      <family val="2"/>
    </font>
    <font>
      <b/>
      <sz val="11"/>
      <name val="Arial"/>
      <family val="2"/>
    </font>
    <font>
      <b/>
      <sz val="11"/>
      <color theme="1"/>
      <name val="Arial"/>
      <family val="2"/>
    </font>
    <font>
      <sz val="8"/>
      <color theme="0" tint="-4.9989318521683403E-2"/>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59999389629810485"/>
        <bgColor indexed="64"/>
      </patternFill>
    </fill>
  </fills>
  <borders count="38">
    <border>
      <left/>
      <right/>
      <top/>
      <bottom/>
      <diagonal/>
    </border>
    <border>
      <left style="thin">
        <color rgb="FFFF0000"/>
      </left>
      <right style="thin">
        <color rgb="FFFF0000"/>
      </right>
      <top style="thin">
        <color rgb="FFFF0000"/>
      </top>
      <bottom style="thin">
        <color rgb="FFFF0000"/>
      </bottom>
      <diagonal/>
    </border>
    <border>
      <left style="medium">
        <color rgb="FFFF0000"/>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bottom style="thin">
        <color theme="0" tint="-0.499984740745262"/>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style="thin">
        <color theme="1"/>
      </left>
      <right style="thin">
        <color theme="1"/>
      </right>
      <top style="thin">
        <color theme="1"/>
      </top>
      <bottom style="thin">
        <color indexed="64"/>
      </bottom>
      <diagonal/>
    </border>
    <border>
      <left style="thin">
        <color theme="1"/>
      </left>
      <right style="thin">
        <color theme="1"/>
      </right>
      <top/>
      <bottom/>
      <diagonal/>
    </border>
    <border>
      <left/>
      <right style="thin">
        <color theme="0"/>
      </right>
      <top style="thin">
        <color theme="0"/>
      </top>
      <bottom/>
      <diagonal/>
    </border>
    <border>
      <left/>
      <right/>
      <top/>
      <bottom style="thin">
        <color theme="0"/>
      </bottom>
      <diagonal/>
    </border>
    <border>
      <left style="thin">
        <color indexed="64"/>
      </left>
      <right/>
      <top/>
      <bottom style="thin">
        <color indexed="64"/>
      </bottom>
      <diagonal/>
    </border>
    <border>
      <left style="thin">
        <color rgb="FFFF0000"/>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9" fontId="1" fillId="0" borderId="0" applyFont="0" applyFill="0" applyBorder="0" applyAlignment="0" applyProtection="0"/>
  </cellStyleXfs>
  <cellXfs count="330">
    <xf numFmtId="0" fontId="0" fillId="0" borderId="0" xfId="0"/>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14" fontId="3" fillId="0" borderId="0" xfId="0" applyNumberFormat="1" applyFont="1" applyFill="1" applyBorder="1" applyAlignment="1" applyProtection="1">
      <alignment vertical="center" wrapText="1"/>
      <protection locked="0"/>
    </xf>
    <xf numFmtId="0" fontId="6" fillId="0" borderId="0" xfId="0" applyFont="1" applyFill="1" applyBorder="1" applyAlignment="1" applyProtection="1">
      <alignment vertical="top"/>
      <protection locked="0"/>
    </xf>
    <xf numFmtId="0" fontId="6" fillId="0" borderId="0" xfId="0" applyFont="1" applyFill="1" applyBorder="1" applyAlignment="1" applyProtection="1">
      <alignment horizontal="left" vertical="top"/>
      <protection locked="0"/>
    </xf>
    <xf numFmtId="0" fontId="6"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vertical="center"/>
      <protection locked="0"/>
    </xf>
    <xf numFmtId="0" fontId="6" fillId="0" borderId="0" xfId="0" applyFont="1" applyFill="1" applyAlignment="1" applyProtection="1">
      <alignment vertical="top"/>
      <protection locked="0"/>
    </xf>
    <xf numFmtId="0" fontId="6" fillId="0" borderId="0" xfId="0" applyFont="1" applyFill="1" applyAlignment="1" applyProtection="1">
      <alignment vertical="center"/>
      <protection locked="0"/>
    </xf>
    <xf numFmtId="3" fontId="6" fillId="7" borderId="1" xfId="0" applyNumberFormat="1" applyFont="1" applyFill="1" applyBorder="1" applyAlignment="1" applyProtection="1">
      <alignment vertical="center"/>
      <protection locked="0"/>
    </xf>
    <xf numFmtId="1" fontId="6" fillId="7" borderId="1" xfId="0" applyNumberFormat="1"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12" fillId="0" borderId="0" xfId="1" applyFont="1" applyFill="1" applyAlignment="1" applyProtection="1">
      <alignment vertical="top" wrapText="1"/>
      <protection locked="0"/>
    </xf>
    <xf numFmtId="0" fontId="6" fillId="0" borderId="0" xfId="0" applyFont="1" applyFill="1" applyAlignment="1" applyProtection="1">
      <alignment horizontal="left" vertical="top" wrapText="1"/>
      <protection locked="0"/>
    </xf>
    <xf numFmtId="0" fontId="6" fillId="0" borderId="0" xfId="0" applyFont="1" applyFill="1" applyAlignment="1" applyProtection="1">
      <alignment horizontal="left" vertical="center" wrapText="1"/>
      <protection locked="0"/>
    </xf>
    <xf numFmtId="0" fontId="12" fillId="0" borderId="0" xfId="1" applyFont="1" applyFill="1" applyAlignment="1" applyProtection="1">
      <alignment vertical="center" wrapText="1"/>
      <protection locked="0"/>
    </xf>
    <xf numFmtId="0" fontId="13" fillId="0" borderId="0" xfId="1" applyFont="1" applyFill="1" applyAlignment="1" applyProtection="1">
      <alignment vertical="top" wrapText="1"/>
      <protection locked="0"/>
    </xf>
    <xf numFmtId="0" fontId="6" fillId="0" borderId="0" xfId="0" applyFont="1" applyFill="1" applyAlignment="1" applyProtection="1">
      <alignment horizontal="left" vertical="top"/>
      <protection locked="0"/>
    </xf>
    <xf numFmtId="0" fontId="6" fillId="0" borderId="0" xfId="0" applyFont="1" applyFill="1" applyAlignment="1" applyProtection="1">
      <alignment wrapText="1"/>
      <protection locked="0"/>
    </xf>
    <xf numFmtId="0" fontId="6" fillId="0" borderId="0" xfId="0" applyFont="1" applyFill="1" applyAlignment="1" applyProtection="1">
      <protection locked="0"/>
    </xf>
    <xf numFmtId="0" fontId="6" fillId="0" borderId="0" xfId="0" applyFont="1" applyFill="1" applyAlignment="1" applyProtection="1">
      <alignment vertical="center" wrapText="1"/>
      <protection locked="0"/>
    </xf>
    <xf numFmtId="3" fontId="6" fillId="7" borderId="1" xfId="0" applyNumberFormat="1" applyFont="1" applyFill="1" applyBorder="1" applyProtection="1">
      <protection locked="0"/>
    </xf>
    <xf numFmtId="0" fontId="17" fillId="0" borderId="0" xfId="0" applyFont="1" applyFill="1" applyAlignment="1" applyProtection="1">
      <alignment vertical="center" wrapText="1"/>
      <protection locked="0"/>
    </xf>
    <xf numFmtId="0" fontId="6" fillId="0" borderId="0" xfId="0" applyFont="1" applyFill="1" applyProtection="1">
      <protection locked="0"/>
    </xf>
    <xf numFmtId="0" fontId="6" fillId="0" borderId="17" xfId="0" applyFont="1" applyFill="1" applyBorder="1" applyAlignment="1" applyProtection="1">
      <alignment vertical="top"/>
    </xf>
    <xf numFmtId="0" fontId="6" fillId="0" borderId="17" xfId="0" applyFont="1" applyFill="1" applyBorder="1" applyAlignment="1" applyProtection="1">
      <alignment vertical="top" wrapText="1"/>
    </xf>
    <xf numFmtId="0" fontId="6" fillId="0" borderId="0" xfId="0" applyFont="1" applyFill="1" applyAlignment="1" applyProtection="1">
      <alignment vertical="top" wrapText="1"/>
    </xf>
    <xf numFmtId="0" fontId="6" fillId="0" borderId="24" xfId="0" applyFont="1" applyFill="1" applyBorder="1" applyProtection="1"/>
    <xf numFmtId="0" fontId="6" fillId="0" borderId="15" xfId="0" applyFont="1" applyFill="1" applyBorder="1" applyProtection="1"/>
    <xf numFmtId="0" fontId="6" fillId="0" borderId="21" xfId="0" applyFont="1" applyFill="1" applyBorder="1" applyProtection="1"/>
    <xf numFmtId="0" fontId="6" fillId="0" borderId="17" xfId="0" applyFont="1" applyFill="1" applyBorder="1" applyAlignment="1" applyProtection="1">
      <alignment vertical="center"/>
    </xf>
    <xf numFmtId="0" fontId="10" fillId="2" borderId="9" xfId="0" applyFont="1" applyFill="1" applyBorder="1" applyAlignment="1" applyProtection="1">
      <alignment horizontal="left" vertical="center" wrapText="1" indent="2"/>
    </xf>
    <xf numFmtId="0" fontId="6" fillId="0" borderId="16" xfId="0" applyFont="1" applyFill="1" applyBorder="1" applyAlignment="1" applyProtection="1">
      <alignment vertical="center" wrapText="1"/>
    </xf>
    <xf numFmtId="0" fontId="6" fillId="0" borderId="18" xfId="0" applyFont="1" applyFill="1" applyBorder="1" applyAlignment="1" applyProtection="1">
      <alignment vertical="top"/>
    </xf>
    <xf numFmtId="0" fontId="6" fillId="6" borderId="0" xfId="0" applyFont="1" applyFill="1" applyAlignment="1" applyProtection="1">
      <alignment horizontal="right" vertical="center" wrapText="1"/>
    </xf>
    <xf numFmtId="3" fontId="6" fillId="6" borderId="0" xfId="0" applyNumberFormat="1" applyFont="1" applyFill="1" applyBorder="1" applyAlignment="1" applyProtection="1">
      <alignment vertical="center"/>
    </xf>
    <xf numFmtId="0" fontId="6" fillId="6" borderId="0" xfId="0" applyFont="1" applyFill="1" applyAlignment="1" applyProtection="1">
      <alignment vertical="center" wrapText="1"/>
    </xf>
    <xf numFmtId="0" fontId="6" fillId="0" borderId="0" xfId="0" applyFont="1" applyFill="1" applyAlignment="1" applyProtection="1">
      <alignment vertical="center" wrapText="1"/>
    </xf>
    <xf numFmtId="0" fontId="3" fillId="5" borderId="0" xfId="0" applyFont="1" applyFill="1" applyAlignment="1" applyProtection="1">
      <alignment vertical="top" wrapText="1"/>
    </xf>
    <xf numFmtId="0" fontId="6" fillId="5" borderId="0" xfId="0" applyFont="1" applyFill="1" applyAlignment="1" applyProtection="1">
      <alignment vertical="top"/>
    </xf>
    <xf numFmtId="0" fontId="6" fillId="0" borderId="18" xfId="0" applyFont="1" applyFill="1" applyBorder="1" applyAlignment="1" applyProtection="1">
      <alignment vertical="top" wrapText="1"/>
    </xf>
    <xf numFmtId="0" fontId="3" fillId="2" borderId="0" xfId="0" applyFont="1" applyFill="1" applyAlignment="1" applyProtection="1">
      <alignment vertical="top" wrapText="1"/>
    </xf>
    <xf numFmtId="0" fontId="6" fillId="2" borderId="0" xfId="0" applyFont="1" applyFill="1" applyAlignment="1" applyProtection="1">
      <alignment vertical="top"/>
    </xf>
    <xf numFmtId="0" fontId="6" fillId="0" borderId="25" xfId="0" applyFont="1" applyFill="1" applyBorder="1" applyAlignment="1" applyProtection="1">
      <alignment vertical="top"/>
    </xf>
    <xf numFmtId="0" fontId="19" fillId="3" borderId="7" xfId="0" applyFont="1" applyFill="1" applyBorder="1" applyAlignment="1" applyProtection="1">
      <alignment horizontal="left" vertical="center" wrapText="1" indent="2"/>
    </xf>
    <xf numFmtId="0" fontId="19" fillId="3" borderId="7" xfId="0" applyFont="1" applyFill="1" applyBorder="1" applyAlignment="1" applyProtection="1">
      <alignment horizontal="right" vertical="center" wrapText="1"/>
    </xf>
    <xf numFmtId="0" fontId="19" fillId="3" borderId="10" xfId="0" applyFont="1" applyFill="1" applyBorder="1" applyAlignment="1" applyProtection="1">
      <alignment horizontal="right" vertical="center" wrapText="1"/>
    </xf>
    <xf numFmtId="0" fontId="19" fillId="3" borderId="22" xfId="0" applyFont="1" applyFill="1" applyBorder="1" applyAlignment="1" applyProtection="1">
      <alignment horizontal="right" vertical="center" wrapText="1"/>
    </xf>
    <xf numFmtId="0" fontId="10" fillId="2" borderId="7" xfId="0" applyFont="1" applyFill="1" applyBorder="1" applyAlignment="1" applyProtection="1">
      <alignment horizontal="left" vertical="center" wrapText="1" indent="2"/>
    </xf>
    <xf numFmtId="3" fontId="6" fillId="2" borderId="6" xfId="0" applyNumberFormat="1" applyFont="1" applyFill="1" applyBorder="1" applyAlignment="1" applyProtection="1">
      <alignment vertical="center"/>
    </xf>
    <xf numFmtId="3" fontId="6" fillId="2" borderId="23" xfId="0" applyNumberFormat="1" applyFont="1" applyFill="1" applyBorder="1" applyAlignment="1" applyProtection="1">
      <alignment vertical="center"/>
    </xf>
    <xf numFmtId="0" fontId="10" fillId="2" borderId="8" xfId="0" applyFont="1" applyFill="1" applyBorder="1" applyAlignment="1" applyProtection="1">
      <alignment horizontal="left" vertical="center" wrapText="1" indent="2"/>
    </xf>
    <xf numFmtId="0" fontId="6" fillId="4" borderId="0" xfId="0" applyFont="1" applyFill="1" applyAlignment="1" applyProtection="1">
      <alignment vertical="center" wrapText="1"/>
    </xf>
    <xf numFmtId="0" fontId="7" fillId="4" borderId="0" xfId="0" applyFont="1" applyFill="1" applyAlignment="1" applyProtection="1">
      <alignment vertical="center" wrapText="1"/>
    </xf>
    <xf numFmtId="0" fontId="10" fillId="4" borderId="0" xfId="0" applyFont="1" applyFill="1" applyAlignment="1" applyProtection="1">
      <alignment horizontal="right" vertical="center" wrapText="1"/>
    </xf>
    <xf numFmtId="0" fontId="6" fillId="0" borderId="17" xfId="0" applyFont="1" applyFill="1" applyBorder="1" applyAlignment="1" applyProtection="1">
      <alignment vertical="center" wrapText="1"/>
    </xf>
    <xf numFmtId="0" fontId="12" fillId="0" borderId="17" xfId="1" applyFont="1" applyFill="1" applyBorder="1" applyAlignment="1" applyProtection="1">
      <alignment vertical="top" wrapText="1"/>
    </xf>
    <xf numFmtId="0" fontId="8" fillId="4" borderId="0" xfId="0" applyFont="1" applyFill="1" applyAlignment="1" applyProtection="1">
      <alignment horizontal="left" wrapText="1" indent="3"/>
    </xf>
    <xf numFmtId="3" fontId="6" fillId="4" borderId="0" xfId="0" applyNumberFormat="1" applyFont="1" applyFill="1" applyBorder="1" applyProtection="1"/>
    <xf numFmtId="0" fontId="6" fillId="4" borderId="0" xfId="0" applyFont="1" applyFill="1" applyBorder="1" applyProtection="1"/>
    <xf numFmtId="0" fontId="6" fillId="4" borderId="0" xfId="0" applyFont="1" applyFill="1" applyAlignment="1" applyProtection="1">
      <alignment vertical="top"/>
    </xf>
    <xf numFmtId="0" fontId="6" fillId="4" borderId="2" xfId="0" applyFont="1" applyFill="1" applyBorder="1" applyAlignment="1" applyProtection="1">
      <alignment horizontal="right" vertical="center"/>
    </xf>
    <xf numFmtId="3" fontId="6" fillId="4" borderId="0" xfId="0" applyNumberFormat="1" applyFont="1" applyFill="1" applyBorder="1" applyAlignment="1" applyProtection="1">
      <alignment vertical="center"/>
    </xf>
    <xf numFmtId="164" fontId="6" fillId="4" borderId="0" xfId="2" applyNumberFormat="1" applyFont="1" applyFill="1" applyBorder="1" applyAlignment="1" applyProtection="1">
      <alignment vertical="center"/>
    </xf>
    <xf numFmtId="0" fontId="17" fillId="0" borderId="17" xfId="0" applyFont="1" applyFill="1" applyBorder="1" applyAlignment="1" applyProtection="1">
      <alignment vertical="center" wrapText="1"/>
    </xf>
    <xf numFmtId="0" fontId="6" fillId="4" borderId="0" xfId="0" applyFont="1" applyFill="1" applyAlignment="1" applyProtection="1">
      <alignment horizontal="right" vertical="center" wrapText="1"/>
    </xf>
    <xf numFmtId="0" fontId="6" fillId="0" borderId="17" xfId="0" applyFont="1" applyFill="1" applyBorder="1" applyAlignment="1" applyProtection="1">
      <alignment wrapText="1"/>
    </xf>
    <xf numFmtId="0" fontId="6" fillId="4" borderId="0" xfId="0" applyFont="1" applyFill="1" applyAlignment="1" applyProtection="1">
      <alignment vertical="top" wrapText="1"/>
    </xf>
    <xf numFmtId="0" fontId="7" fillId="4" borderId="0" xfId="0" applyFont="1" applyFill="1" applyAlignment="1" applyProtection="1">
      <alignment vertical="top" wrapText="1"/>
    </xf>
    <xf numFmtId="0" fontId="6" fillId="4" borderId="0" xfId="0" applyFont="1" applyFill="1" applyAlignment="1" applyProtection="1">
      <alignment horizontal="right" vertical="top" wrapText="1"/>
    </xf>
    <xf numFmtId="0" fontId="6" fillId="10" borderId="0" xfId="0" applyFont="1" applyFill="1" applyAlignment="1" applyProtection="1">
      <alignment horizontal="right" vertical="center" wrapText="1"/>
    </xf>
    <xf numFmtId="3" fontId="6" fillId="10" borderId="0" xfId="0" applyNumberFormat="1" applyFont="1" applyFill="1" applyBorder="1" applyAlignment="1" applyProtection="1">
      <alignment vertical="center"/>
    </xf>
    <xf numFmtId="0" fontId="6" fillId="10" borderId="0" xfId="0" applyFont="1" applyFill="1" applyBorder="1" applyAlignment="1" applyProtection="1">
      <alignment vertical="center"/>
    </xf>
    <xf numFmtId="0" fontId="13" fillId="0" borderId="17" xfId="1" applyFont="1" applyFill="1" applyBorder="1" applyAlignment="1" applyProtection="1">
      <alignment vertical="top" wrapText="1"/>
    </xf>
    <xf numFmtId="0" fontId="6" fillId="0" borderId="17" xfId="0" applyFont="1" applyFill="1" applyBorder="1" applyAlignment="1" applyProtection="1">
      <alignment horizontal="left" vertical="top"/>
    </xf>
    <xf numFmtId="0" fontId="3" fillId="4" borderId="0" xfId="0" applyFont="1" applyFill="1" applyAlignment="1" applyProtection="1">
      <alignment vertical="top" wrapText="1"/>
    </xf>
    <xf numFmtId="0" fontId="6" fillId="4" borderId="0" xfId="0" applyFont="1" applyFill="1" applyAlignment="1" applyProtection="1">
      <alignment wrapText="1"/>
    </xf>
    <xf numFmtId="0" fontId="7" fillId="10" borderId="0" xfId="0" applyFont="1" applyFill="1" applyAlignment="1" applyProtection="1">
      <alignment vertical="center"/>
    </xf>
    <xf numFmtId="0" fontId="6" fillId="9" borderId="0" xfId="0" applyFont="1" applyFill="1" applyAlignment="1" applyProtection="1">
      <alignment horizontal="right" vertical="center" wrapText="1"/>
    </xf>
    <xf numFmtId="3" fontId="6" fillId="9" borderId="0" xfId="0" applyNumberFormat="1" applyFont="1" applyFill="1" applyBorder="1" applyAlignment="1" applyProtection="1">
      <alignment vertical="center"/>
    </xf>
    <xf numFmtId="0" fontId="6" fillId="9" borderId="0" xfId="0" applyFont="1" applyFill="1" applyBorder="1" applyAlignment="1" applyProtection="1">
      <alignment vertical="center"/>
    </xf>
    <xf numFmtId="0" fontId="6" fillId="9" borderId="0" xfId="0" applyFont="1" applyFill="1" applyAlignment="1" applyProtection="1">
      <alignment vertical="center"/>
    </xf>
    <xf numFmtId="0" fontId="3" fillId="10" borderId="0" xfId="0" applyFont="1" applyFill="1" applyAlignment="1" applyProtection="1">
      <alignment vertical="top" wrapText="1"/>
    </xf>
    <xf numFmtId="0" fontId="6" fillId="10" borderId="0" xfId="0" applyFont="1" applyFill="1" applyAlignment="1" applyProtection="1">
      <alignment vertical="top"/>
    </xf>
    <xf numFmtId="0" fontId="7" fillId="9" borderId="0" xfId="0" applyFont="1" applyFill="1" applyAlignment="1" applyProtection="1">
      <alignment vertical="center"/>
    </xf>
    <xf numFmtId="0" fontId="8" fillId="9" borderId="0" xfId="0" applyFont="1" applyFill="1" applyAlignment="1" applyProtection="1">
      <alignment horizontal="left" wrapText="1" indent="3"/>
    </xf>
    <xf numFmtId="3" fontId="6" fillId="9" borderId="0" xfId="0" applyNumberFormat="1" applyFont="1" applyFill="1" applyBorder="1" applyProtection="1"/>
    <xf numFmtId="0" fontId="6" fillId="9" borderId="0" xfId="0" applyFont="1" applyFill="1" applyBorder="1" applyProtection="1"/>
    <xf numFmtId="0" fontId="6" fillId="9" borderId="0" xfId="0" applyFont="1" applyFill="1" applyAlignment="1" applyProtection="1">
      <alignment vertical="top"/>
    </xf>
    <xf numFmtId="0" fontId="6" fillId="9" borderId="0" xfId="0" applyFont="1" applyFill="1" applyBorder="1" applyAlignment="1" applyProtection="1">
      <alignment vertical="center" wrapText="1"/>
    </xf>
    <xf numFmtId="3" fontId="15" fillId="9" borderId="0" xfId="0" applyNumberFormat="1" applyFont="1" applyFill="1" applyBorder="1" applyAlignment="1" applyProtection="1">
      <alignment vertical="center"/>
    </xf>
    <xf numFmtId="0" fontId="15" fillId="9" borderId="0" xfId="0" applyFont="1" applyFill="1" applyBorder="1" applyAlignment="1" applyProtection="1">
      <alignment vertical="center"/>
    </xf>
    <xf numFmtId="9" fontId="6" fillId="9" borderId="0" xfId="2" applyFont="1" applyFill="1" applyBorder="1" applyAlignment="1" applyProtection="1">
      <alignment vertical="center"/>
    </xf>
    <xf numFmtId="0" fontId="12" fillId="0" borderId="17" xfId="1" applyFont="1" applyFill="1" applyBorder="1" applyAlignment="1" applyProtection="1">
      <alignment vertical="center" wrapText="1"/>
    </xf>
    <xf numFmtId="0" fontId="6" fillId="0" borderId="17" xfId="0" applyFont="1" applyFill="1" applyBorder="1" applyAlignment="1" applyProtection="1">
      <alignment horizontal="left" vertical="top" wrapText="1"/>
    </xf>
    <xf numFmtId="0" fontId="3" fillId="9" borderId="0" xfId="0" applyFont="1" applyFill="1" applyAlignment="1" applyProtection="1">
      <alignment vertical="top" wrapText="1"/>
    </xf>
    <xf numFmtId="0" fontId="5" fillId="9" borderId="0" xfId="0" applyFont="1" applyFill="1" applyAlignment="1" applyProtection="1">
      <alignment horizontal="left" vertical="center" wrapText="1"/>
    </xf>
    <xf numFmtId="0" fontId="6" fillId="8" borderId="0" xfId="0" applyFont="1" applyFill="1" applyBorder="1" applyAlignment="1" applyProtection="1">
      <alignment vertical="center"/>
    </xf>
    <xf numFmtId="0" fontId="7" fillId="8" borderId="0" xfId="0" applyFont="1" applyFill="1" applyAlignment="1" applyProtection="1">
      <alignment vertical="center"/>
    </xf>
    <xf numFmtId="0" fontId="6" fillId="0" borderId="17" xfId="0" applyFont="1" applyFill="1" applyBorder="1" applyAlignment="1" applyProtection="1">
      <alignment horizontal="left" vertical="center" wrapText="1"/>
    </xf>
    <xf numFmtId="0" fontId="6" fillId="8" borderId="0" xfId="0" applyFont="1" applyFill="1" applyAlignment="1" applyProtection="1">
      <alignment horizontal="right" vertical="center" wrapText="1"/>
    </xf>
    <xf numFmtId="3" fontId="6" fillId="8" borderId="0" xfId="0" applyNumberFormat="1" applyFont="1" applyFill="1" applyBorder="1" applyAlignment="1" applyProtection="1">
      <alignment vertical="center"/>
    </xf>
    <xf numFmtId="0" fontId="6" fillId="8" borderId="0" xfId="0" applyFont="1" applyFill="1" applyAlignment="1" applyProtection="1">
      <alignment vertical="center"/>
    </xf>
    <xf numFmtId="0" fontId="6" fillId="4" borderId="0" xfId="0" applyFont="1" applyFill="1" applyBorder="1" applyAlignment="1" applyProtection="1">
      <alignment vertical="center"/>
    </xf>
    <xf numFmtId="0" fontId="6" fillId="4" borderId="0" xfId="0" applyFont="1" applyFill="1" applyAlignment="1" applyProtection="1">
      <alignment vertical="center"/>
    </xf>
    <xf numFmtId="0" fontId="6" fillId="6" borderId="0" xfId="0" applyFont="1" applyFill="1" applyAlignment="1" applyProtection="1">
      <alignment vertical="center"/>
    </xf>
    <xf numFmtId="0" fontId="3" fillId="8" borderId="0" xfId="0" applyFont="1" applyFill="1" applyAlignment="1" applyProtection="1">
      <alignment vertical="top" wrapText="1"/>
    </xf>
    <xf numFmtId="0" fontId="6" fillId="8" borderId="0" xfId="0" applyFont="1" applyFill="1" applyAlignment="1" applyProtection="1">
      <alignment vertical="top"/>
    </xf>
    <xf numFmtId="0" fontId="6" fillId="8" borderId="0" xfId="0" applyFont="1" applyFill="1" applyAlignment="1" applyProtection="1">
      <alignment horizontal="left" vertical="center" wrapText="1"/>
    </xf>
    <xf numFmtId="0" fontId="7" fillId="4" borderId="0" xfId="0" applyFont="1" applyFill="1" applyAlignment="1" applyProtection="1">
      <alignment vertical="center"/>
    </xf>
    <xf numFmtId="0" fontId="6" fillId="11" borderId="0" xfId="0" applyFont="1" applyFill="1" applyBorder="1" applyAlignment="1" applyProtection="1">
      <alignment vertical="center" wrapText="1"/>
    </xf>
    <xf numFmtId="0" fontId="7" fillId="11" borderId="0" xfId="0" applyFont="1" applyFill="1" applyBorder="1" applyAlignment="1" applyProtection="1">
      <alignment vertical="center" wrapText="1"/>
    </xf>
    <xf numFmtId="0" fontId="6" fillId="11" borderId="0" xfId="0" applyFont="1" applyFill="1" applyAlignment="1" applyProtection="1">
      <alignment horizontal="right" vertical="center" wrapText="1"/>
    </xf>
    <xf numFmtId="0" fontId="5" fillId="0" borderId="18" xfId="0" applyFont="1" applyFill="1" applyBorder="1" applyAlignment="1" applyProtection="1">
      <alignment vertical="center"/>
    </xf>
    <xf numFmtId="14" fontId="3" fillId="0" borderId="18" xfId="0" applyNumberFormat="1" applyFont="1" applyFill="1" applyBorder="1" applyAlignment="1" applyProtection="1">
      <alignment vertical="center" wrapText="1"/>
    </xf>
    <xf numFmtId="0" fontId="7" fillId="0" borderId="17" xfId="0" applyFont="1" applyFill="1" applyBorder="1" applyAlignment="1" applyProtection="1">
      <alignment vertical="center"/>
    </xf>
    <xf numFmtId="0" fontId="3" fillId="11" borderId="0" xfId="0" applyFont="1" applyFill="1" applyAlignment="1" applyProtection="1">
      <alignment vertical="center" wrapText="1"/>
    </xf>
    <xf numFmtId="0" fontId="6" fillId="11" borderId="0" xfId="0" applyFont="1" applyFill="1" applyAlignment="1" applyProtection="1">
      <alignment vertical="center"/>
    </xf>
    <xf numFmtId="0" fontId="24" fillId="9" borderId="3" xfId="0" applyFont="1" applyFill="1" applyBorder="1" applyAlignment="1" applyProtection="1">
      <alignment horizontal="center" vertical="center"/>
    </xf>
    <xf numFmtId="0" fontId="24" fillId="9" borderId="3" xfId="0" applyFont="1" applyFill="1" applyBorder="1" applyAlignment="1" applyProtection="1">
      <alignment horizontal="center" vertical="center" wrapText="1"/>
    </xf>
    <xf numFmtId="1" fontId="24" fillId="9" borderId="3" xfId="0" applyNumberFormat="1" applyFont="1" applyFill="1" applyBorder="1" applyAlignment="1" applyProtection="1">
      <alignment horizontal="center" vertical="center"/>
    </xf>
    <xf numFmtId="9" fontId="24" fillId="9" borderId="3" xfId="2" applyFont="1" applyFill="1" applyBorder="1" applyAlignment="1" applyProtection="1">
      <alignment horizontal="center" vertical="center"/>
    </xf>
    <xf numFmtId="9" fontId="24" fillId="9" borderId="4" xfId="2" applyFont="1" applyFill="1" applyBorder="1" applyAlignment="1" applyProtection="1">
      <alignment horizontal="center" vertical="center"/>
    </xf>
    <xf numFmtId="0" fontId="24" fillId="9" borderId="3" xfId="0" applyFont="1" applyFill="1" applyBorder="1" applyAlignment="1" applyProtection="1">
      <alignment horizontal="right" vertical="center"/>
    </xf>
    <xf numFmtId="3" fontId="24" fillId="9" borderId="3" xfId="0" applyNumberFormat="1" applyFont="1" applyFill="1" applyBorder="1" applyAlignment="1" applyProtection="1">
      <alignment horizontal="center" vertical="center"/>
    </xf>
    <xf numFmtId="3" fontId="24" fillId="9" borderId="4" xfId="0" applyNumberFormat="1" applyFont="1" applyFill="1" applyBorder="1" applyAlignment="1" applyProtection="1">
      <alignment horizontal="center" vertical="center"/>
    </xf>
    <xf numFmtId="0" fontId="4" fillId="9" borderId="0" xfId="0" applyFont="1" applyFill="1" applyAlignment="1" applyProtection="1">
      <alignment vertical="center"/>
    </xf>
    <xf numFmtId="0" fontId="6" fillId="4" borderId="0" xfId="0" applyFont="1" applyFill="1" applyBorder="1" applyAlignment="1" applyProtection="1">
      <alignment horizontal="right" vertical="center"/>
    </xf>
    <xf numFmtId="3" fontId="15" fillId="4" borderId="0" xfId="0" applyNumberFormat="1" applyFont="1" applyFill="1" applyBorder="1" applyAlignment="1" applyProtection="1">
      <alignment vertical="center"/>
    </xf>
    <xf numFmtId="0" fontId="15" fillId="4" borderId="0" xfId="0" applyFont="1" applyFill="1" applyAlignment="1" applyProtection="1">
      <alignment vertical="center" wrapText="1"/>
    </xf>
    <xf numFmtId="0" fontId="8" fillId="4" borderId="0" xfId="0" applyFont="1" applyFill="1" applyAlignment="1" applyProtection="1">
      <alignment horizontal="left" vertical="center" wrapText="1" indent="3"/>
    </xf>
    <xf numFmtId="165" fontId="6" fillId="2" borderId="7" xfId="0" applyNumberFormat="1" applyFont="1" applyFill="1" applyBorder="1" applyAlignment="1" applyProtection="1">
      <alignment vertical="center"/>
    </xf>
    <xf numFmtId="165" fontId="6" fillId="2" borderId="8" xfId="0" applyNumberFormat="1" applyFont="1" applyFill="1" applyBorder="1" applyAlignment="1" applyProtection="1">
      <alignment vertical="center"/>
    </xf>
    <xf numFmtId="0" fontId="10" fillId="2" borderId="6" xfId="0" applyFont="1" applyFill="1" applyBorder="1" applyAlignment="1" applyProtection="1">
      <alignment horizontal="left" vertical="center" wrapText="1" indent="4"/>
    </xf>
    <xf numFmtId="0" fontId="10" fillId="2" borderId="8" xfId="0" applyFont="1" applyFill="1" applyBorder="1" applyAlignment="1" applyProtection="1">
      <alignment horizontal="left" vertical="center" wrapText="1" indent="4"/>
    </xf>
    <xf numFmtId="0" fontId="10" fillId="2" borderId="8" xfId="0" applyFont="1" applyFill="1" applyBorder="1" applyAlignment="1" applyProtection="1">
      <alignment horizontal="left" vertical="center" indent="4"/>
    </xf>
    <xf numFmtId="166" fontId="6" fillId="2" borderId="8" xfId="0" applyNumberFormat="1" applyFont="1" applyFill="1" applyBorder="1" applyAlignment="1" applyProtection="1">
      <alignment vertical="center"/>
    </xf>
    <xf numFmtId="166" fontId="6" fillId="2" borderId="7" xfId="0" applyNumberFormat="1" applyFont="1" applyFill="1" applyBorder="1" applyAlignment="1" applyProtection="1">
      <alignment vertical="center"/>
    </xf>
    <xf numFmtId="166" fontId="6" fillId="2" borderId="26" xfId="0" applyNumberFormat="1" applyFont="1" applyFill="1" applyBorder="1" applyAlignment="1" applyProtection="1">
      <alignment vertical="center"/>
    </xf>
    <xf numFmtId="0" fontId="6" fillId="0" borderId="0" xfId="0" applyFont="1" applyFill="1" applyAlignment="1" applyProtection="1">
      <alignment horizontal="left" vertical="center" indent="5"/>
      <protection locked="0"/>
    </xf>
    <xf numFmtId="165" fontId="6" fillId="7" borderId="1" xfId="0" applyNumberFormat="1" applyFont="1" applyFill="1" applyBorder="1" applyAlignment="1" applyProtection="1">
      <alignment vertical="center"/>
      <protection locked="0"/>
    </xf>
    <xf numFmtId="0" fontId="15" fillId="4" borderId="0" xfId="0" applyFont="1" applyFill="1" applyAlignment="1" applyProtection="1">
      <alignment horizontal="right" vertical="center" wrapText="1"/>
    </xf>
    <xf numFmtId="0" fontId="15" fillId="4" borderId="0" xfId="0" applyFont="1" applyFill="1" applyBorder="1" applyAlignment="1" applyProtection="1">
      <alignment vertical="center"/>
    </xf>
    <xf numFmtId="0" fontId="15" fillId="6" borderId="0" xfId="0" applyFont="1" applyFill="1" applyAlignment="1" applyProtection="1">
      <alignment horizontal="right" vertical="center" wrapText="1"/>
    </xf>
    <xf numFmtId="3" fontId="15" fillId="6" borderId="0" xfId="0" applyNumberFormat="1" applyFont="1" applyFill="1" applyBorder="1" applyAlignment="1" applyProtection="1">
      <alignment vertical="center"/>
    </xf>
    <xf numFmtId="0" fontId="15" fillId="6" borderId="0" xfId="0" applyFont="1" applyFill="1" applyBorder="1" applyAlignment="1" applyProtection="1">
      <alignment vertical="center"/>
    </xf>
    <xf numFmtId="3" fontId="6" fillId="0" borderId="0" xfId="0" applyNumberFormat="1" applyFont="1" applyFill="1" applyAlignment="1" applyProtection="1">
      <alignment vertical="center" wrapText="1"/>
      <protection locked="0"/>
    </xf>
    <xf numFmtId="3" fontId="6" fillId="0" borderId="0" xfId="0" applyNumberFormat="1" applyFont="1" applyFill="1" applyAlignment="1" applyProtection="1">
      <alignment vertical="top"/>
      <protection locked="0"/>
    </xf>
    <xf numFmtId="0" fontId="24" fillId="9" borderId="0" xfId="0" applyFont="1" applyFill="1" applyBorder="1" applyAlignment="1" applyProtection="1">
      <alignment horizontal="right" vertical="center"/>
    </xf>
    <xf numFmtId="3" fontId="24" fillId="9" borderId="0" xfId="0" applyNumberFormat="1" applyFont="1" applyFill="1" applyBorder="1" applyAlignment="1" applyProtection="1">
      <alignment horizontal="center" vertical="center"/>
    </xf>
    <xf numFmtId="0" fontId="6" fillId="9" borderId="0" xfId="0" applyFont="1" applyFill="1" applyAlignment="1" applyProtection="1">
      <alignment vertical="top" wrapText="1"/>
    </xf>
    <xf numFmtId="0" fontId="6" fillId="2" borderId="0" xfId="0" applyFont="1" applyFill="1" applyBorder="1" applyAlignment="1" applyProtection="1">
      <alignment vertical="center"/>
    </xf>
    <xf numFmtId="3" fontId="6" fillId="2" borderId="0" xfId="0" applyNumberFormat="1" applyFont="1" applyFill="1" applyBorder="1" applyAlignment="1" applyProtection="1">
      <alignment vertical="center"/>
    </xf>
    <xf numFmtId="0" fontId="10" fillId="2" borderId="26" xfId="0" applyFont="1" applyFill="1" applyBorder="1" applyAlignment="1" applyProtection="1">
      <alignment horizontal="left" vertical="center" wrapText="1" indent="2"/>
    </xf>
    <xf numFmtId="0" fontId="19" fillId="3" borderId="7" xfId="0" applyFont="1" applyFill="1" applyBorder="1" applyAlignment="1" applyProtection="1">
      <alignment horizontal="right" vertical="center" wrapText="1" indent="1"/>
    </xf>
    <xf numFmtId="0" fontId="19" fillId="2" borderId="0" xfId="0" applyFont="1" applyFill="1" applyBorder="1" applyAlignment="1" applyProtection="1">
      <alignment horizontal="right" vertical="center" wrapText="1"/>
    </xf>
    <xf numFmtId="3" fontId="6" fillId="2" borderId="8" xfId="0" applyNumberFormat="1" applyFont="1" applyFill="1" applyBorder="1" applyAlignment="1" applyProtection="1">
      <alignment vertical="center"/>
    </xf>
    <xf numFmtId="3" fontId="4" fillId="2" borderId="0" xfId="0" applyNumberFormat="1" applyFont="1" applyFill="1" applyBorder="1" applyAlignment="1" applyProtection="1">
      <alignment vertical="center"/>
    </xf>
    <xf numFmtId="0" fontId="12" fillId="0" borderId="17" xfId="1" applyFont="1" applyFill="1" applyBorder="1" applyAlignment="1" applyProtection="1">
      <alignment horizontal="left" vertical="center" wrapText="1" indent="5"/>
    </xf>
    <xf numFmtId="0" fontId="10" fillId="4" borderId="0" xfId="0" applyFont="1" applyFill="1" applyAlignment="1" applyProtection="1">
      <alignment vertical="center"/>
    </xf>
    <xf numFmtId="0" fontId="6" fillId="0" borderId="17" xfId="0" applyFont="1" applyFill="1" applyBorder="1" applyAlignment="1" applyProtection="1">
      <alignment horizontal="left" vertical="top" indent="3"/>
    </xf>
    <xf numFmtId="0" fontId="6" fillId="0" borderId="0" xfId="0" applyFont="1" applyFill="1" applyAlignment="1" applyProtection="1">
      <alignment horizontal="left" vertical="top" indent="3"/>
      <protection locked="0"/>
    </xf>
    <xf numFmtId="3" fontId="10" fillId="4" borderId="0" xfId="0" applyNumberFormat="1" applyFont="1" applyFill="1" applyBorder="1" applyAlignment="1" applyProtection="1">
      <alignment vertical="center"/>
    </xf>
    <xf numFmtId="0" fontId="10" fillId="4" borderId="0" xfId="0" applyFont="1" applyFill="1" applyBorder="1" applyAlignment="1" applyProtection="1">
      <alignment vertical="center"/>
    </xf>
    <xf numFmtId="4" fontId="10" fillId="4" borderId="0" xfId="0" applyNumberFormat="1" applyFont="1" applyFill="1" applyBorder="1" applyAlignment="1" applyProtection="1">
      <alignment vertical="center"/>
    </xf>
    <xf numFmtId="0" fontId="6" fillId="0" borderId="17" xfId="0" applyFont="1" applyFill="1" applyBorder="1" applyAlignment="1" applyProtection="1"/>
    <xf numFmtId="4" fontId="6" fillId="7" borderId="1" xfId="0" applyNumberFormat="1" applyFont="1" applyFill="1" applyBorder="1" applyAlignment="1" applyProtection="1">
      <alignment vertical="center"/>
      <protection locked="0"/>
    </xf>
    <xf numFmtId="4" fontId="6" fillId="8" borderId="0" xfId="0" applyNumberFormat="1" applyFont="1" applyFill="1" applyBorder="1" applyAlignment="1" applyProtection="1">
      <alignment vertical="center"/>
    </xf>
    <xf numFmtId="0" fontId="6" fillId="8" borderId="0" xfId="0" applyFont="1" applyFill="1" applyBorder="1" applyAlignment="1" applyProtection="1">
      <alignment vertical="center" wrapText="1"/>
    </xf>
    <xf numFmtId="4" fontId="10" fillId="8" borderId="0" xfId="0" applyNumberFormat="1" applyFont="1" applyFill="1" applyBorder="1" applyAlignment="1" applyProtection="1">
      <alignment vertical="center"/>
    </xf>
    <xf numFmtId="0" fontId="6" fillId="8" borderId="0" xfId="0" applyFont="1" applyFill="1" applyAlignment="1" applyProtection="1">
      <alignment vertical="center" wrapText="1"/>
    </xf>
    <xf numFmtId="0" fontId="7" fillId="9" borderId="0" xfId="0" applyFont="1" applyFill="1" applyAlignment="1" applyProtection="1">
      <alignment vertical="center" wrapText="1"/>
    </xf>
    <xf numFmtId="0" fontId="12" fillId="0" borderId="0" xfId="1" applyFont="1" applyFill="1" applyBorder="1" applyAlignment="1" applyProtection="1">
      <alignment vertical="top" wrapText="1"/>
    </xf>
    <xf numFmtId="9" fontId="6" fillId="9" borderId="0" xfId="2" applyFont="1" applyFill="1" applyBorder="1" applyAlignment="1" applyProtection="1">
      <alignment horizontal="right" vertical="center"/>
    </xf>
    <xf numFmtId="3" fontId="10" fillId="7" borderId="1" xfId="0" applyNumberFormat="1" applyFont="1" applyFill="1" applyBorder="1" applyAlignment="1" applyProtection="1">
      <alignment vertical="center"/>
      <protection locked="0"/>
    </xf>
    <xf numFmtId="4" fontId="10" fillId="9" borderId="0" xfId="0" applyNumberFormat="1" applyFont="1" applyFill="1" applyBorder="1" applyAlignment="1" applyProtection="1">
      <alignment vertical="center"/>
    </xf>
    <xf numFmtId="0" fontId="7" fillId="8" borderId="0" xfId="0" applyFont="1" applyFill="1" applyAlignment="1" applyProtection="1">
      <alignment vertical="center" wrapText="1"/>
    </xf>
    <xf numFmtId="0" fontId="6" fillId="5" borderId="0" xfId="0" applyFont="1" applyFill="1" applyAlignment="1" applyProtection="1">
      <alignment horizontal="right" vertical="center" wrapText="1"/>
    </xf>
    <xf numFmtId="0" fontId="6" fillId="5" borderId="0" xfId="0" applyFont="1" applyFill="1" applyAlignment="1" applyProtection="1">
      <alignment vertical="center"/>
    </xf>
    <xf numFmtId="0" fontId="7" fillId="5" borderId="0" xfId="0" applyFont="1" applyFill="1" applyAlignment="1" applyProtection="1">
      <alignment vertical="center"/>
    </xf>
    <xf numFmtId="0" fontId="6" fillId="5" borderId="0" xfId="0" applyFont="1" applyFill="1" applyBorder="1" applyAlignment="1" applyProtection="1">
      <alignment vertical="center"/>
    </xf>
    <xf numFmtId="0" fontId="6" fillId="2" borderId="0" xfId="0" applyFont="1" applyFill="1" applyBorder="1" applyAlignment="1" applyProtection="1">
      <alignment vertical="center" wrapText="1"/>
    </xf>
    <xf numFmtId="0" fontId="7" fillId="2" borderId="0" xfId="0" applyFont="1" applyFill="1" applyBorder="1" applyAlignment="1" applyProtection="1">
      <alignment vertical="center" wrapText="1"/>
    </xf>
    <xf numFmtId="0" fontId="6" fillId="2" borderId="0" xfId="0" applyFont="1" applyFill="1" applyAlignment="1" applyProtection="1">
      <alignment horizontal="right" vertical="center" wrapText="1"/>
    </xf>
    <xf numFmtId="0" fontId="3" fillId="2" borderId="0" xfId="0" applyFont="1" applyFill="1" applyAlignment="1" applyProtection="1">
      <alignment vertical="center" wrapText="1"/>
    </xf>
    <xf numFmtId="0" fontId="6" fillId="2" borderId="0" xfId="0" applyFont="1" applyFill="1" applyAlignment="1" applyProtection="1">
      <alignment vertical="center"/>
    </xf>
    <xf numFmtId="0" fontId="3" fillId="3" borderId="0" xfId="0" applyFont="1" applyFill="1" applyAlignment="1" applyProtection="1">
      <alignment vertical="top" wrapText="1"/>
    </xf>
    <xf numFmtId="0" fontId="6" fillId="3" borderId="0" xfId="0" applyFont="1" applyFill="1" applyAlignment="1" applyProtection="1">
      <alignment vertical="top"/>
    </xf>
    <xf numFmtId="0" fontId="6" fillId="3" borderId="0" xfId="0" applyFont="1" applyFill="1" applyBorder="1" applyAlignment="1" applyProtection="1">
      <alignment vertical="center"/>
    </xf>
    <xf numFmtId="170" fontId="10" fillId="5" borderId="0" xfId="0" applyNumberFormat="1" applyFont="1" applyFill="1" applyBorder="1" applyAlignment="1" applyProtection="1">
      <alignment vertical="center"/>
    </xf>
    <xf numFmtId="0" fontId="6" fillId="5" borderId="0" xfId="2" applyNumberFormat="1" applyFont="1" applyFill="1" applyBorder="1" applyAlignment="1" applyProtection="1">
      <alignment vertical="center" wrapText="1"/>
    </xf>
    <xf numFmtId="0" fontId="6" fillId="5" borderId="0" xfId="0" applyFont="1" applyFill="1" applyBorder="1" applyAlignment="1" applyProtection="1">
      <alignment vertical="center" wrapText="1"/>
    </xf>
    <xf numFmtId="3" fontId="6" fillId="2" borderId="0" xfId="0" applyNumberFormat="1" applyFont="1" applyFill="1" applyBorder="1" applyAlignment="1" applyProtection="1">
      <alignment vertical="center"/>
      <protection locked="0"/>
    </xf>
    <xf numFmtId="0" fontId="6" fillId="3" borderId="0" xfId="0" applyFont="1" applyFill="1" applyAlignment="1" applyProtection="1">
      <alignment horizontal="right" vertical="center" wrapText="1"/>
    </xf>
    <xf numFmtId="0" fontId="6" fillId="3" borderId="0" xfId="0" applyFont="1" applyFill="1" applyAlignment="1" applyProtection="1">
      <alignment vertical="center"/>
    </xf>
    <xf numFmtId="0" fontId="25" fillId="3" borderId="0" xfId="0" applyFont="1" applyFill="1" applyAlignment="1" applyProtection="1">
      <alignment horizontal="left" wrapText="1"/>
    </xf>
    <xf numFmtId="0" fontId="7" fillId="3" borderId="0" xfId="0" applyFont="1" applyFill="1" applyAlignment="1" applyProtection="1">
      <alignment vertical="center"/>
    </xf>
    <xf numFmtId="9" fontId="6" fillId="3" borderId="0" xfId="2" applyFont="1" applyFill="1" applyBorder="1" applyAlignment="1" applyProtection="1">
      <alignment vertical="center"/>
    </xf>
    <xf numFmtId="0" fontId="19" fillId="3" borderId="30" xfId="0" applyFont="1" applyFill="1" applyBorder="1" applyAlignment="1" applyProtection="1">
      <alignment horizontal="left" vertical="center" wrapText="1" indent="2"/>
    </xf>
    <xf numFmtId="0" fontId="19" fillId="3" borderId="30" xfId="0" applyFont="1" applyFill="1" applyBorder="1" applyAlignment="1" applyProtection="1">
      <alignment horizontal="right" vertical="center" wrapText="1"/>
    </xf>
    <xf numFmtId="170" fontId="6" fillId="2" borderId="8" xfId="0" applyNumberFormat="1" applyFont="1" applyFill="1" applyBorder="1" applyAlignment="1" applyProtection="1">
      <alignment vertical="center"/>
    </xf>
    <xf numFmtId="172" fontId="6" fillId="2" borderId="8" xfId="0" applyNumberFormat="1" applyFont="1" applyFill="1" applyBorder="1" applyAlignment="1" applyProtection="1">
      <alignment vertical="center"/>
    </xf>
    <xf numFmtId="0" fontId="19" fillId="2" borderId="8" xfId="0" applyFont="1" applyFill="1" applyBorder="1" applyAlignment="1" applyProtection="1">
      <alignment horizontal="left" vertical="center" wrapText="1" indent="4"/>
    </xf>
    <xf numFmtId="172" fontId="5" fillId="2" borderId="8" xfId="0" applyNumberFormat="1" applyFont="1" applyFill="1" applyBorder="1" applyAlignment="1" applyProtection="1">
      <alignment vertical="center"/>
    </xf>
    <xf numFmtId="166" fontId="5" fillId="2" borderId="8" xfId="0" applyNumberFormat="1" applyFont="1" applyFill="1" applyBorder="1" applyAlignment="1" applyProtection="1">
      <alignment vertical="center"/>
    </xf>
    <xf numFmtId="0" fontId="26" fillId="2" borderId="8" xfId="0" applyFont="1" applyFill="1" applyBorder="1" applyAlignment="1" applyProtection="1">
      <alignment horizontal="left" vertical="center" wrapText="1" indent="6"/>
    </xf>
    <xf numFmtId="172" fontId="27" fillId="2" borderId="8" xfId="0" applyNumberFormat="1" applyFont="1" applyFill="1" applyBorder="1" applyAlignment="1" applyProtection="1">
      <alignment vertical="center"/>
    </xf>
    <xf numFmtId="0" fontId="28" fillId="2" borderId="8" xfId="0" applyFont="1" applyFill="1" applyBorder="1" applyAlignment="1" applyProtection="1">
      <alignment horizontal="left" vertical="center" wrapText="1" indent="6"/>
    </xf>
    <xf numFmtId="166" fontId="29" fillId="2" borderId="8" xfId="0" applyNumberFormat="1" applyFont="1" applyFill="1" applyBorder="1" applyAlignment="1" applyProtection="1">
      <alignment vertical="center"/>
    </xf>
    <xf numFmtId="166" fontId="27" fillId="2" borderId="8" xfId="0" applyNumberFormat="1" applyFont="1" applyFill="1" applyBorder="1" applyAlignment="1" applyProtection="1">
      <alignment vertical="center"/>
    </xf>
    <xf numFmtId="168" fontId="6" fillId="7" borderId="1" xfId="0" applyNumberFormat="1" applyFont="1" applyFill="1" applyBorder="1" applyAlignment="1" applyProtection="1">
      <alignment vertical="center"/>
      <protection locked="0"/>
    </xf>
    <xf numFmtId="3" fontId="6" fillId="2" borderId="7" xfId="0" applyNumberFormat="1" applyFont="1" applyFill="1" applyBorder="1" applyAlignment="1" applyProtection="1">
      <alignment vertical="center"/>
    </xf>
    <xf numFmtId="169" fontId="6" fillId="2" borderId="7" xfId="0" applyNumberFormat="1" applyFont="1" applyFill="1" applyBorder="1" applyAlignment="1" applyProtection="1">
      <alignment vertical="center"/>
    </xf>
    <xf numFmtId="169" fontId="6" fillId="2" borderId="8" xfId="0" applyNumberFormat="1" applyFont="1" applyFill="1" applyBorder="1" applyAlignment="1" applyProtection="1">
      <alignment vertical="center"/>
    </xf>
    <xf numFmtId="169" fontId="27" fillId="2" borderId="8" xfId="0" applyNumberFormat="1" applyFont="1" applyFill="1" applyBorder="1" applyAlignment="1" applyProtection="1">
      <alignment vertical="center"/>
    </xf>
    <xf numFmtId="169" fontId="5" fillId="2" borderId="8" xfId="0" applyNumberFormat="1" applyFont="1" applyFill="1" applyBorder="1" applyAlignment="1" applyProtection="1">
      <alignment vertical="center"/>
    </xf>
    <xf numFmtId="165" fontId="27" fillId="2" borderId="8" xfId="0" applyNumberFormat="1" applyFont="1" applyFill="1" applyBorder="1" applyAlignment="1" applyProtection="1">
      <alignment vertical="center"/>
    </xf>
    <xf numFmtId="165" fontId="5" fillId="2" borderId="8" xfId="0" applyNumberFormat="1" applyFont="1" applyFill="1" applyBorder="1" applyAlignment="1" applyProtection="1">
      <alignment vertical="center"/>
    </xf>
    <xf numFmtId="1" fontId="6" fillId="2" borderId="8" xfId="0" applyNumberFormat="1" applyFont="1" applyFill="1" applyBorder="1" applyAlignment="1" applyProtection="1">
      <alignment vertical="center"/>
    </xf>
    <xf numFmtId="3" fontId="29" fillId="2" borderId="8" xfId="0" applyNumberFormat="1" applyFont="1" applyFill="1" applyBorder="1" applyAlignment="1" applyProtection="1">
      <alignment horizontal="right" vertical="center"/>
    </xf>
    <xf numFmtId="168" fontId="29" fillId="2" borderId="8" xfId="0" applyNumberFormat="1" applyFont="1" applyFill="1" applyBorder="1" applyAlignment="1" applyProtection="1">
      <alignment vertical="center"/>
    </xf>
    <xf numFmtId="171" fontId="29" fillId="2" borderId="8" xfId="0" applyNumberFormat="1" applyFont="1" applyFill="1" applyBorder="1" applyAlignment="1" applyProtection="1">
      <alignment vertical="center"/>
    </xf>
    <xf numFmtId="3" fontId="29" fillId="2" borderId="8" xfId="0" applyNumberFormat="1" applyFont="1" applyFill="1" applyBorder="1" applyAlignment="1" applyProtection="1">
      <alignment vertical="center"/>
    </xf>
    <xf numFmtId="165" fontId="29" fillId="2" borderId="8" xfId="0" applyNumberFormat="1" applyFont="1" applyFill="1" applyBorder="1" applyAlignment="1" applyProtection="1">
      <alignment vertical="center"/>
    </xf>
    <xf numFmtId="1" fontId="29" fillId="2" borderId="8" xfId="0" applyNumberFormat="1" applyFont="1" applyFill="1" applyBorder="1" applyAlignment="1" applyProtection="1">
      <alignment vertical="center"/>
    </xf>
    <xf numFmtId="167" fontId="29" fillId="2" borderId="8" xfId="0" applyNumberFormat="1" applyFont="1" applyFill="1" applyBorder="1" applyAlignment="1" applyProtection="1">
      <alignment vertical="center"/>
    </xf>
    <xf numFmtId="0" fontId="10" fillId="2" borderId="10" xfId="0" applyFont="1" applyFill="1" applyBorder="1" applyAlignment="1" applyProtection="1">
      <alignment horizontal="left" vertical="center" wrapText="1" indent="2"/>
    </xf>
    <xf numFmtId="167" fontId="6" fillId="2" borderId="31" xfId="0" applyNumberFormat="1" applyFont="1" applyFill="1" applyBorder="1" applyAlignment="1" applyProtection="1">
      <alignment vertical="center"/>
    </xf>
    <xf numFmtId="3" fontId="6" fillId="2" borderId="31" xfId="0" applyNumberFormat="1" applyFont="1" applyFill="1" applyBorder="1" applyAlignment="1" applyProtection="1">
      <alignment vertical="center"/>
    </xf>
    <xf numFmtId="3" fontId="6" fillId="2" borderId="32" xfId="0" applyNumberFormat="1" applyFont="1" applyFill="1" applyBorder="1" applyAlignment="1" applyProtection="1">
      <alignment vertical="center"/>
    </xf>
    <xf numFmtId="0" fontId="30" fillId="2" borderId="0" xfId="0" applyFont="1" applyFill="1" applyAlignment="1" applyProtection="1">
      <alignment vertical="top" wrapText="1"/>
    </xf>
    <xf numFmtId="0" fontId="10" fillId="2" borderId="9" xfId="0" applyFont="1" applyFill="1" applyBorder="1" applyAlignment="1" applyProtection="1">
      <alignment horizontal="left" vertical="center" wrapText="1" indent="4"/>
    </xf>
    <xf numFmtId="170" fontId="6" fillId="2" borderId="9" xfId="0" applyNumberFormat="1" applyFont="1" applyFill="1" applyBorder="1" applyAlignment="1" applyProtection="1">
      <alignment vertical="center"/>
    </xf>
    <xf numFmtId="169" fontId="6" fillId="2" borderId="9" xfId="0" applyNumberFormat="1" applyFont="1" applyFill="1" applyBorder="1" applyAlignment="1" applyProtection="1">
      <alignment vertical="center"/>
    </xf>
    <xf numFmtId="0" fontId="10" fillId="2" borderId="33" xfId="0" applyFont="1" applyFill="1" applyBorder="1" applyAlignment="1" applyProtection="1">
      <alignment horizontal="left" vertical="center" wrapText="1" indent="4"/>
    </xf>
    <xf numFmtId="170" fontId="6" fillId="2" borderId="34" xfId="0" applyNumberFormat="1" applyFont="1" applyFill="1" applyBorder="1" applyAlignment="1" applyProtection="1">
      <alignment vertical="center"/>
    </xf>
    <xf numFmtId="169" fontId="6" fillId="2" borderId="34" xfId="0" applyNumberFormat="1" applyFont="1" applyFill="1" applyBorder="1" applyAlignment="1" applyProtection="1">
      <alignment vertical="center"/>
    </xf>
    <xf numFmtId="169" fontId="6" fillId="2" borderId="35" xfId="0" applyNumberFormat="1" applyFont="1" applyFill="1" applyBorder="1" applyAlignment="1" applyProtection="1">
      <alignment vertical="center"/>
    </xf>
    <xf numFmtId="0" fontId="30" fillId="2" borderId="26" xfId="0" applyFont="1" applyFill="1" applyBorder="1" applyAlignment="1" applyProtection="1">
      <alignment vertical="top" wrapText="1"/>
    </xf>
    <xf numFmtId="0" fontId="6" fillId="2" borderId="36" xfId="0" applyFont="1" applyFill="1" applyBorder="1" applyAlignment="1" applyProtection="1">
      <alignment vertical="top"/>
    </xf>
    <xf numFmtId="0" fontId="6" fillId="2" borderId="37" xfId="0" applyFont="1" applyFill="1" applyBorder="1" applyAlignment="1" applyProtection="1">
      <alignment vertical="top"/>
    </xf>
    <xf numFmtId="0" fontId="31" fillId="2" borderId="8" xfId="0" applyFont="1" applyFill="1" applyBorder="1" applyAlignment="1" applyProtection="1">
      <alignment horizontal="left" vertical="center" wrapText="1" indent="6"/>
    </xf>
    <xf numFmtId="166" fontId="32" fillId="2" borderId="8" xfId="0" applyNumberFormat="1" applyFont="1" applyFill="1" applyBorder="1" applyAlignment="1" applyProtection="1">
      <alignment vertical="center"/>
    </xf>
    <xf numFmtId="0" fontId="10" fillId="2" borderId="30" xfId="0" applyFont="1" applyFill="1" applyBorder="1" applyAlignment="1" applyProtection="1">
      <alignment horizontal="left" vertical="center" wrapText="1" indent="2"/>
    </xf>
    <xf numFmtId="173" fontId="32" fillId="2" borderId="30" xfId="0" applyNumberFormat="1" applyFont="1" applyFill="1" applyBorder="1" applyAlignment="1" applyProtection="1">
      <alignment vertical="center"/>
    </xf>
    <xf numFmtId="1" fontId="29" fillId="2" borderId="33" xfId="0" applyNumberFormat="1" applyFont="1" applyFill="1" applyBorder="1" applyAlignment="1" applyProtection="1">
      <alignment vertical="center"/>
    </xf>
    <xf numFmtId="165" fontId="29" fillId="2" borderId="34" xfId="0" applyNumberFormat="1" applyFont="1" applyFill="1" applyBorder="1" applyAlignment="1" applyProtection="1">
      <alignment vertical="center"/>
    </xf>
    <xf numFmtId="166" fontId="33" fillId="2" borderId="8" xfId="0" applyNumberFormat="1" applyFont="1" applyFill="1" applyBorder="1" applyAlignment="1" applyProtection="1">
      <alignment vertical="center"/>
    </xf>
    <xf numFmtId="3" fontId="6" fillId="7" borderId="1" xfId="0" applyNumberFormat="1" applyFont="1" applyFill="1" applyBorder="1" applyAlignment="1" applyProtection="1">
      <alignment vertical="center"/>
    </xf>
    <xf numFmtId="0" fontId="6" fillId="4" borderId="0" xfId="0" applyFont="1" applyFill="1" applyAlignment="1" applyProtection="1">
      <alignment horizontal="center" vertical="top" wrapText="1"/>
    </xf>
    <xf numFmtId="0" fontId="6" fillId="10" borderId="0" xfId="0" applyFont="1" applyFill="1" applyAlignment="1" applyProtection="1">
      <alignment horizontal="center" vertical="center" wrapText="1"/>
    </xf>
    <xf numFmtId="0" fontId="5" fillId="4" borderId="0" xfId="0" applyFont="1" applyFill="1" applyAlignment="1" applyProtection="1">
      <alignment horizontal="left" wrapText="1" indent="3"/>
    </xf>
    <xf numFmtId="165" fontId="6" fillId="7" borderId="27" xfId="0" applyNumberFormat="1" applyFont="1" applyFill="1" applyBorder="1" applyAlignment="1" applyProtection="1">
      <alignment vertical="center"/>
      <protection locked="0"/>
    </xf>
    <xf numFmtId="165" fontId="6" fillId="7" borderId="28" xfId="0" applyNumberFormat="1" applyFont="1" applyFill="1" applyBorder="1" applyAlignment="1" applyProtection="1">
      <alignment vertical="center"/>
      <protection locked="0"/>
    </xf>
    <xf numFmtId="0" fontId="6" fillId="0" borderId="0" xfId="0" applyFont="1" applyFill="1" applyBorder="1" applyAlignment="1" applyProtection="1">
      <alignment vertical="top"/>
    </xf>
    <xf numFmtId="0" fontId="6" fillId="0" borderId="0" xfId="0" applyFont="1" applyFill="1" applyAlignment="1" applyProtection="1">
      <alignment vertical="top"/>
    </xf>
    <xf numFmtId="0" fontId="6" fillId="4" borderId="0" xfId="0" applyFont="1" applyFill="1" applyAlignment="1" applyProtection="1">
      <alignment horizontal="left" vertical="top" wrapText="1"/>
    </xf>
    <xf numFmtId="0" fontId="12" fillId="4" borderId="0" xfId="1" applyFont="1" applyFill="1" applyAlignment="1" applyProtection="1">
      <alignment horizontal="left" vertical="top" wrapText="1" indent="1"/>
      <protection locked="0"/>
    </xf>
    <xf numFmtId="0" fontId="6" fillId="4" borderId="0" xfId="0" applyFont="1" applyFill="1" applyAlignment="1" applyProtection="1">
      <alignment horizontal="left" vertical="top" wrapText="1" indent="1"/>
      <protection locked="0"/>
    </xf>
    <xf numFmtId="0" fontId="6" fillId="9" borderId="0" xfId="0" applyFont="1" applyFill="1" applyAlignment="1" applyProtection="1">
      <alignment horizontal="left" vertical="top" wrapText="1"/>
    </xf>
    <xf numFmtId="0" fontId="12" fillId="9" borderId="0" xfId="1" applyFont="1" applyFill="1" applyAlignment="1" applyProtection="1">
      <alignment horizontal="left" vertical="top" wrapText="1"/>
      <protection locked="0"/>
    </xf>
    <xf numFmtId="0" fontId="6" fillId="4" borderId="0" xfId="0" applyFont="1" applyFill="1" applyAlignment="1" applyProtection="1">
      <alignment horizontal="center" vertical="top" wrapText="1"/>
    </xf>
    <xf numFmtId="0" fontId="6" fillId="8" borderId="0" xfId="0" applyFont="1" applyFill="1" applyAlignment="1" applyProtection="1">
      <alignment horizontal="center" vertical="top" wrapText="1"/>
    </xf>
    <xf numFmtId="0" fontId="6" fillId="9" borderId="0" xfId="0" applyFont="1" applyFill="1" applyAlignment="1" applyProtection="1">
      <alignment horizontal="center" vertical="top" wrapText="1"/>
    </xf>
    <xf numFmtId="0" fontId="12" fillId="8" borderId="0" xfId="1" applyFont="1" applyFill="1" applyAlignment="1" applyProtection="1">
      <alignment horizontal="left" vertical="top" wrapText="1"/>
      <protection locked="0"/>
    </xf>
    <xf numFmtId="0" fontId="6" fillId="8" borderId="0" xfId="0" applyFont="1" applyFill="1" applyAlignment="1" applyProtection="1">
      <alignment horizontal="left" vertical="top" wrapText="1"/>
    </xf>
    <xf numFmtId="0" fontId="6" fillId="0" borderId="0" xfId="0" applyFont="1" applyFill="1" applyAlignment="1" applyProtection="1">
      <alignment horizontal="center" vertical="top" wrapText="1"/>
    </xf>
    <xf numFmtId="0" fontId="21" fillId="4" borderId="0" xfId="1" applyFont="1" applyFill="1" applyAlignment="1" applyProtection="1">
      <alignment horizontal="left" vertical="top" wrapText="1" indent="5"/>
      <protection locked="0"/>
    </xf>
    <xf numFmtId="0" fontId="10" fillId="4" borderId="0" xfId="0" applyFont="1" applyFill="1" applyAlignment="1" applyProtection="1">
      <alignment horizontal="left" vertical="top" wrapText="1" indent="5"/>
      <protection locked="0"/>
    </xf>
    <xf numFmtId="0" fontId="6" fillId="5" borderId="0" xfId="0" applyFont="1" applyFill="1" applyAlignment="1" applyProtection="1">
      <alignment horizontal="left" vertical="top" wrapText="1"/>
    </xf>
    <xf numFmtId="0" fontId="13" fillId="5" borderId="0" xfId="1" applyFont="1" applyFill="1" applyAlignment="1" applyProtection="1">
      <alignment horizontal="left" vertical="top" wrapText="1"/>
      <protection locked="0"/>
    </xf>
    <xf numFmtId="0" fontId="13" fillId="5" borderId="0" xfId="1" applyFont="1" applyFill="1" applyAlignment="1" applyProtection="1">
      <alignment horizontal="left" vertical="top"/>
      <protection locked="0"/>
    </xf>
    <xf numFmtId="0" fontId="6" fillId="0" borderId="0" xfId="0" applyFont="1" applyFill="1" applyAlignment="1" applyProtection="1">
      <alignment horizontal="center" vertical="top"/>
    </xf>
    <xf numFmtId="0" fontId="6" fillId="11" borderId="0" xfId="0" applyFont="1" applyFill="1" applyAlignment="1" applyProtection="1">
      <alignment horizontal="center" vertical="top" wrapText="1"/>
    </xf>
    <xf numFmtId="0" fontId="6" fillId="4" borderId="0" xfId="0" applyFont="1" applyFill="1" applyAlignment="1" applyProtection="1">
      <alignment horizontal="center" vertical="center" wrapText="1"/>
    </xf>
    <xf numFmtId="0" fontId="6" fillId="11" borderId="0" xfId="0" applyFont="1" applyFill="1" applyAlignment="1" applyProtection="1">
      <alignment horizontal="center" vertical="top"/>
    </xf>
    <xf numFmtId="0" fontId="3" fillId="0" borderId="14" xfId="0" applyFont="1" applyFill="1" applyBorder="1" applyAlignment="1" applyProtection="1">
      <alignment horizontal="left" vertical="center"/>
    </xf>
    <xf numFmtId="14" fontId="23" fillId="0" borderId="14" xfId="0" applyNumberFormat="1" applyFont="1" applyFill="1" applyBorder="1" applyAlignment="1" applyProtection="1">
      <alignment horizontal="left" vertical="center" wrapText="1"/>
    </xf>
    <xf numFmtId="0" fontId="7" fillId="7" borderId="11" xfId="0" applyFont="1" applyFill="1" applyBorder="1" applyAlignment="1" applyProtection="1">
      <alignment horizontal="left" vertical="center"/>
    </xf>
    <xf numFmtId="0" fontId="7" fillId="7" borderId="12" xfId="0" applyFont="1" applyFill="1" applyBorder="1" applyAlignment="1" applyProtection="1">
      <alignment horizontal="left" vertical="center"/>
    </xf>
    <xf numFmtId="0" fontId="7" fillId="7" borderId="13" xfId="0" applyFont="1" applyFill="1" applyBorder="1" applyAlignment="1" applyProtection="1">
      <alignment horizontal="left" vertical="center"/>
    </xf>
    <xf numFmtId="0" fontId="6" fillId="0" borderId="14" xfId="0" applyFont="1" applyFill="1" applyBorder="1" applyAlignment="1" applyProtection="1">
      <alignment horizontal="center" vertical="top"/>
    </xf>
    <xf numFmtId="0" fontId="6" fillId="0" borderId="15" xfId="0" applyFont="1" applyFill="1" applyBorder="1" applyAlignment="1" applyProtection="1">
      <alignment horizontal="left" vertical="top" wrapText="1"/>
    </xf>
    <xf numFmtId="0" fontId="24" fillId="9" borderId="5" xfId="0" applyFont="1" applyFill="1" applyBorder="1" applyAlignment="1" applyProtection="1">
      <alignment horizontal="center" vertical="center" wrapText="1"/>
    </xf>
    <xf numFmtId="0" fontId="16" fillId="0" borderId="0" xfId="0" applyFont="1" applyFill="1" applyAlignment="1" applyProtection="1">
      <alignment horizontal="center" vertical="top" wrapText="1"/>
    </xf>
    <xf numFmtId="0" fontId="16" fillId="10" borderId="0" xfId="0" applyFont="1" applyFill="1" applyAlignment="1" applyProtection="1">
      <alignment horizontal="center" vertical="top" wrapText="1"/>
    </xf>
    <xf numFmtId="0" fontId="6" fillId="10" borderId="0" xfId="0" applyFont="1" applyFill="1" applyAlignment="1" applyProtection="1">
      <alignment horizontal="center" vertical="center" wrapText="1"/>
    </xf>
    <xf numFmtId="0" fontId="5" fillId="8" borderId="0" xfId="0" applyFont="1" applyFill="1" applyAlignment="1" applyProtection="1">
      <alignment horizontal="left" wrapText="1"/>
    </xf>
    <xf numFmtId="0" fontId="5" fillId="9" borderId="0" xfId="0" applyFont="1" applyFill="1" applyAlignment="1" applyProtection="1">
      <alignment horizontal="left" wrapText="1"/>
    </xf>
    <xf numFmtId="0" fontId="6" fillId="10" borderId="0" xfId="0" applyFont="1" applyFill="1" applyAlignment="1" applyProtection="1">
      <alignment horizontal="left" vertical="center" wrapText="1"/>
    </xf>
    <xf numFmtId="0" fontId="6" fillId="9" borderId="0" xfId="0" applyFont="1" applyFill="1" applyAlignment="1" applyProtection="1">
      <alignment horizontal="left" vertical="center" wrapText="1"/>
    </xf>
    <xf numFmtId="0" fontId="5" fillId="10" borderId="0" xfId="0" applyFont="1" applyFill="1" applyAlignment="1" applyProtection="1">
      <alignment horizontal="left" wrapText="1"/>
    </xf>
    <xf numFmtId="0" fontId="6" fillId="2" borderId="0" xfId="0" applyFont="1" applyFill="1" applyBorder="1" applyAlignment="1" applyProtection="1">
      <alignment horizontal="center" vertical="top"/>
    </xf>
    <xf numFmtId="0" fontId="10" fillId="2" borderId="0" xfId="0" applyFont="1" applyFill="1" applyBorder="1" applyAlignment="1" applyProtection="1">
      <alignment horizontal="left" vertical="top" wrapText="1"/>
    </xf>
    <xf numFmtId="0" fontId="6" fillId="5" borderId="0" xfId="0" applyFont="1" applyFill="1" applyAlignment="1" applyProtection="1">
      <alignment horizontal="center" vertical="top" wrapText="1"/>
    </xf>
    <xf numFmtId="0" fontId="10" fillId="4" borderId="0" xfId="0" applyFont="1" applyFill="1" applyAlignment="1" applyProtection="1">
      <alignment horizontal="center" vertical="center" wrapText="1"/>
    </xf>
    <xf numFmtId="0" fontId="17" fillId="2" borderId="0"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indent="2"/>
    </xf>
    <xf numFmtId="0" fontId="5" fillId="4" borderId="0" xfId="0" applyFont="1" applyFill="1" applyAlignment="1" applyProtection="1">
      <alignment horizontal="left" wrapText="1"/>
    </xf>
    <xf numFmtId="0" fontId="10" fillId="4" borderId="0" xfId="0" applyFont="1" applyFill="1" applyAlignment="1" applyProtection="1">
      <alignment horizontal="left" wrapText="1" indent="5"/>
    </xf>
    <xf numFmtId="0" fontId="17" fillId="0" borderId="0" xfId="0" applyFont="1" applyFill="1" applyAlignment="1" applyProtection="1">
      <alignment horizontal="center" vertical="top" wrapText="1"/>
    </xf>
    <xf numFmtId="0" fontId="17" fillId="0" borderId="20" xfId="0" applyFont="1" applyFill="1" applyBorder="1" applyAlignment="1" applyProtection="1">
      <alignment horizontal="center" vertical="top" wrapText="1"/>
    </xf>
    <xf numFmtId="0" fontId="6" fillId="0" borderId="19" xfId="0" applyFont="1" applyFill="1" applyBorder="1" applyAlignment="1" applyProtection="1">
      <alignment horizontal="center" vertical="top"/>
    </xf>
    <xf numFmtId="0" fontId="6" fillId="0" borderId="0" xfId="0" applyFont="1" applyFill="1" applyBorder="1" applyAlignment="1" applyProtection="1">
      <alignment horizontal="center" vertical="top"/>
    </xf>
    <xf numFmtId="0" fontId="6" fillId="0" borderId="20" xfId="0" applyFont="1" applyFill="1" applyBorder="1" applyAlignment="1" applyProtection="1">
      <alignment horizontal="center" vertical="top"/>
    </xf>
    <xf numFmtId="0" fontId="5" fillId="9" borderId="0" xfId="0" applyFont="1" applyFill="1" applyAlignment="1" applyProtection="1">
      <alignment horizontal="left" wrapText="1" indent="3"/>
    </xf>
    <xf numFmtId="0" fontId="6" fillId="9" borderId="0" xfId="0" applyFont="1" applyFill="1" applyAlignment="1" applyProtection="1">
      <alignment horizontal="left" vertical="center" wrapText="1" indent="4"/>
    </xf>
    <xf numFmtId="0" fontId="5" fillId="4" borderId="0" xfId="0" applyFont="1" applyFill="1" applyAlignment="1" applyProtection="1">
      <alignment horizontal="left" wrapText="1" indent="3"/>
    </xf>
    <xf numFmtId="0" fontId="6" fillId="9"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6" fillId="0" borderId="18"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0" fontId="6" fillId="0" borderId="29" xfId="0" applyFont="1" applyFill="1" applyBorder="1" applyAlignment="1" applyProtection="1">
      <alignment horizontal="center"/>
      <protection locked="0"/>
    </xf>
    <xf numFmtId="0" fontId="25" fillId="8" borderId="0" xfId="0" applyFont="1" applyFill="1" applyAlignment="1" applyProtection="1">
      <alignment horizontal="left" wrapText="1"/>
    </xf>
    <xf numFmtId="0" fontId="12" fillId="4" borderId="0" xfId="1" applyFont="1" applyFill="1" applyAlignment="1" applyProtection="1">
      <alignment horizontal="left" vertical="top" wrapText="1" indent="4"/>
    </xf>
    <xf numFmtId="0" fontId="6" fillId="4" borderId="0" xfId="0" applyFont="1" applyFill="1" applyAlignment="1" applyProtection="1">
      <alignment horizontal="left" vertical="top" wrapText="1" indent="4"/>
    </xf>
    <xf numFmtId="0" fontId="6" fillId="8" borderId="0" xfId="0" applyFont="1" applyFill="1" applyAlignment="1" applyProtection="1">
      <alignment horizontal="center" vertical="center" wrapText="1"/>
    </xf>
    <xf numFmtId="0" fontId="6" fillId="2" borderId="0" xfId="0" applyFont="1" applyFill="1" applyAlignment="1" applyProtection="1">
      <alignment horizontal="center" vertical="top"/>
    </xf>
    <xf numFmtId="0" fontId="25" fillId="4" borderId="0" xfId="0" applyFont="1" applyFill="1" applyAlignment="1" applyProtection="1">
      <alignment horizontal="left" wrapText="1"/>
    </xf>
    <xf numFmtId="0" fontId="25" fillId="3" borderId="0" xfId="0" applyFont="1" applyFill="1" applyAlignment="1" applyProtection="1">
      <alignment horizontal="left" wrapText="1"/>
    </xf>
    <xf numFmtId="0" fontId="6" fillId="5" borderId="0" xfId="2" applyNumberFormat="1" applyFont="1" applyFill="1" applyBorder="1" applyAlignment="1" applyProtection="1">
      <alignment horizontal="left" vertical="center" wrapText="1"/>
    </xf>
    <xf numFmtId="0" fontId="25" fillId="9" borderId="0" xfId="0" applyFont="1" applyFill="1" applyAlignment="1" applyProtection="1">
      <alignment horizontal="left" wrapText="1"/>
    </xf>
    <xf numFmtId="0" fontId="12" fillId="9" borderId="0" xfId="1" applyFont="1" applyFill="1" applyAlignment="1" applyProtection="1">
      <alignment horizontal="left" vertical="top" wrapText="1"/>
    </xf>
    <xf numFmtId="0" fontId="6" fillId="0" borderId="20" xfId="0" applyFont="1" applyFill="1" applyBorder="1" applyAlignment="1" applyProtection="1">
      <alignment horizontal="center" vertical="top" wrapText="1"/>
    </xf>
    <xf numFmtId="0" fontId="6" fillId="4" borderId="0" xfId="0" applyFont="1" applyFill="1" applyAlignment="1" applyProtection="1">
      <alignment horizontal="left" wrapText="1" indent="3"/>
    </xf>
    <xf numFmtId="0" fontId="3" fillId="4" borderId="0" xfId="0" applyFont="1" applyFill="1" applyAlignment="1" applyProtection="1">
      <alignment horizontal="left" vertical="top" wrapText="1"/>
    </xf>
    <xf numFmtId="0" fontId="6" fillId="3" borderId="0" xfId="0" applyFont="1" applyFill="1" applyAlignment="1" applyProtection="1">
      <alignment horizontal="center" vertical="top" wrapText="1"/>
    </xf>
    <xf numFmtId="0" fontId="6" fillId="3" borderId="0" xfId="0" applyFont="1" applyFill="1" applyAlignment="1" applyProtection="1">
      <alignment horizontal="left" vertical="top" wrapText="1"/>
    </xf>
  </cellXfs>
  <cellStyles count="3">
    <cellStyle name="Link" xfId="1" builtinId="8"/>
    <cellStyle name="Prozent" xfId="2" builtinId="5"/>
    <cellStyle name="Standard" xfId="0" builtinId="0"/>
  </cellStyles>
  <dxfs count="0"/>
  <tableStyles count="0" defaultTableStyle="TableStyleMedium2" defaultPivotStyle="PivotStyleLight16"/>
  <colors>
    <mruColors>
      <color rgb="FFE8D1FF"/>
      <color rgb="FFE0C1FF"/>
      <color rgb="FF0000FF"/>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koordination.ch/de/online-handbuch/krankentaggeld/lohnfortzahlungspflicht/" TargetMode="External"/><Relationship Id="rId3" Type="http://schemas.openxmlformats.org/officeDocument/2006/relationships/hyperlink" Target="https://www.ahv-iv.ch/de/Merkbl%C3%A4tter-Formulare/Online-Rentensch%C3%A4tzung-ESCAL" TargetMode="External"/><Relationship Id="rId7" Type="http://schemas.openxmlformats.org/officeDocument/2006/relationships/hyperlink" Target="https://www.ch.ch/de/arbeitsunfahigkeit-infolge-krankheit-schwangerschaft-rechte/" TargetMode="External"/><Relationship Id="rId2" Type="http://schemas.openxmlformats.org/officeDocument/2006/relationships/hyperlink" Target="https://www.ahv-iv.ch/p/3.01.d" TargetMode="External"/><Relationship Id="rId1" Type="http://schemas.openxmlformats.org/officeDocument/2006/relationships/hyperlink" Target="https://www.spitextg.ch/files/HCNN011/2020_empfehlungen_besoldung_mitarbeitende_spitex.pdf" TargetMode="External"/><Relationship Id="rId6" Type="http://schemas.openxmlformats.org/officeDocument/2006/relationships/hyperlink" Target="https://www.kmu.admin.ch/kmu/de/home/praktisches-wissen/personal/personalmanagement/pflichten-der-arbeitgebenden/sozialversicherungen/krankentaggeld-versicherung.html" TargetMode="External"/><Relationship Id="rId11" Type="http://schemas.openxmlformats.org/officeDocument/2006/relationships/printerSettings" Target="../printerSettings/printerSettings1.bin"/><Relationship Id="rId5" Type="http://schemas.openxmlformats.org/officeDocument/2006/relationships/hyperlink" Target="https://web.aeis.ch/DE/static_pages/41/Unser%20Auftrag" TargetMode="External"/><Relationship Id="rId10" Type="http://schemas.openxmlformats.org/officeDocument/2006/relationships/hyperlink" Target="https://www.ch.ch/de/steuerrechner/" TargetMode="External"/><Relationship Id="rId4" Type="http://schemas.openxmlformats.org/officeDocument/2006/relationships/hyperlink" Target="https://www.ahv-iv.ch/de/Sozialversicherungen/Weitere-Sozialversicherungen/Berufliche-Vorsorge-BV" TargetMode="External"/><Relationship Id="rId9" Type="http://schemas.openxmlformats.org/officeDocument/2006/relationships/hyperlink" Target="https://www.bag.admin.ch/bag/de/home/versicherungen/unfallversicherung.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koordination.ch/de/online-handbuch/krankentaggeld/lohnfortzahlungspflicht/" TargetMode="External"/><Relationship Id="rId3" Type="http://schemas.openxmlformats.org/officeDocument/2006/relationships/hyperlink" Target="https://www.ahv-iv.ch/de/Merkbl%C3%A4tter-Formulare/Online-Rentensch%C3%A4tzung-ESCAL" TargetMode="External"/><Relationship Id="rId7" Type="http://schemas.openxmlformats.org/officeDocument/2006/relationships/hyperlink" Target="https://www.ch.ch/de/arbeitsunfahigkeit-infolge-krankheit-schwangerschaft-rechte/" TargetMode="External"/><Relationship Id="rId2" Type="http://schemas.openxmlformats.org/officeDocument/2006/relationships/hyperlink" Target="https://www.ahv-iv.ch/p/3.01.d" TargetMode="External"/><Relationship Id="rId1" Type="http://schemas.openxmlformats.org/officeDocument/2006/relationships/hyperlink" Target="https://www.spitextg.ch/files/HCNN011/2020_empfehlungen_besoldung_mitarbeitende_spitex.pdf" TargetMode="External"/><Relationship Id="rId6" Type="http://schemas.openxmlformats.org/officeDocument/2006/relationships/hyperlink" Target="https://www.kmu.admin.ch/kmu/de/home/praktisches-wissen/personal/personalmanagement/pflichten-der-arbeitgebenden/sozialversicherungen/krankentaggeld-versicherung.html" TargetMode="External"/><Relationship Id="rId11" Type="http://schemas.openxmlformats.org/officeDocument/2006/relationships/printerSettings" Target="../printerSettings/printerSettings2.bin"/><Relationship Id="rId5" Type="http://schemas.openxmlformats.org/officeDocument/2006/relationships/hyperlink" Target="https://web.aeis.ch/DE/static_pages/41/Unser%20Auftrag" TargetMode="External"/><Relationship Id="rId10" Type="http://schemas.openxmlformats.org/officeDocument/2006/relationships/hyperlink" Target="https://www.ch.ch/de/steuerrechner/" TargetMode="External"/><Relationship Id="rId4" Type="http://schemas.openxmlformats.org/officeDocument/2006/relationships/hyperlink" Target="https://www.ahv-iv.ch/de/Sozialversicherungen/Weitere-Sozialversicherungen/Berufliche-Vorsorge-BV" TargetMode="External"/><Relationship Id="rId9" Type="http://schemas.openxmlformats.org/officeDocument/2006/relationships/hyperlink" Target="https://www.bag.admin.ch/bag/de/home/versicherungen/unfallversicherung.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eb.aeis.ch/DE/static_pages/41/Unser%20Auftrag" TargetMode="External"/><Relationship Id="rId2" Type="http://schemas.openxmlformats.org/officeDocument/2006/relationships/hyperlink" Target="https://www.ahv-iv.ch/de/Sozialversicherungen/Weitere-Sozialversicherungen/Berufliche-Vorsorge-BV" TargetMode="External"/><Relationship Id="rId1" Type="http://schemas.openxmlformats.org/officeDocument/2006/relationships/hyperlink" Target="https://www.spitextg.ch/files/HCNN011/2020_empfehlungen_besoldung_mitarbeitende_spitex.pdf" TargetMode="External"/><Relationship Id="rId5" Type="http://schemas.openxmlformats.org/officeDocument/2006/relationships/printerSettings" Target="../printerSettings/printerSettings3.bin"/><Relationship Id="rId4" Type="http://schemas.openxmlformats.org/officeDocument/2006/relationships/hyperlink" Target="https://www.spitextg.ch/files/HCNN011/2020_empfehlungen_besoldung_mitarbeitende_spite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0642C-6B8F-4161-83D6-2008D69E2C44}">
  <dimension ref="A1:R162"/>
  <sheetViews>
    <sheetView tabSelected="1" zoomScale="55" zoomScaleNormal="55" workbookViewId="0">
      <selection activeCell="B87" sqref="B87"/>
    </sheetView>
  </sheetViews>
  <sheetFormatPr baseColWidth="10" defaultColWidth="11.44140625" defaultRowHeight="15" x14ac:dyDescent="0.25"/>
  <cols>
    <col min="1" max="1" width="87.5546875" style="25" customWidth="1"/>
    <col min="2" max="2" width="16.5546875" style="25" customWidth="1"/>
    <col min="3" max="4" width="37.5546875" style="25" customWidth="1"/>
    <col min="5" max="5" width="4.21875" style="25" customWidth="1"/>
    <col min="6" max="6" width="16.77734375" style="25" customWidth="1"/>
    <col min="7" max="7" width="18.77734375" style="25" customWidth="1"/>
    <col min="8" max="8" width="15.21875" style="25" customWidth="1"/>
    <col min="9" max="9" width="19.77734375" style="25" customWidth="1"/>
    <col min="10" max="10" width="16.5546875" style="25" customWidth="1"/>
    <col min="11" max="12" width="11.44140625" style="25"/>
    <col min="13" max="13" width="17.77734375" style="25" customWidth="1"/>
    <col min="14" max="14" width="18.77734375" style="25" customWidth="1"/>
    <col min="15" max="16" width="11.44140625" style="25"/>
    <col min="17" max="17" width="6.5546875" style="25" customWidth="1"/>
    <col min="18" max="18" width="39.44140625" style="25" customWidth="1"/>
    <col min="19" max="16384" width="11.44140625" style="25"/>
  </cols>
  <sheetData>
    <row r="1" spans="1:18" s="2" customFormat="1" ht="17.399999999999999" x14ac:dyDescent="0.3">
      <c r="A1" s="278" t="s">
        <v>13</v>
      </c>
      <c r="B1" s="278"/>
      <c r="C1" s="278"/>
      <c r="D1" s="278"/>
      <c r="E1" s="115"/>
      <c r="F1" s="1"/>
    </row>
    <row r="2" spans="1:18" s="2" customFormat="1" ht="41.25" customHeight="1" x14ac:dyDescent="0.3">
      <c r="A2" s="279" t="s">
        <v>216</v>
      </c>
      <c r="B2" s="279"/>
      <c r="C2" s="279"/>
      <c r="D2" s="279"/>
      <c r="E2" s="116"/>
      <c r="F2" s="3"/>
    </row>
    <row r="3" spans="1:18" s="5" customFormat="1" x14ac:dyDescent="0.3">
      <c r="A3" s="283"/>
      <c r="B3" s="283"/>
      <c r="C3" s="283"/>
      <c r="D3" s="283"/>
      <c r="E3" s="35"/>
      <c r="F3" s="4"/>
    </row>
    <row r="4" spans="1:18" s="5" customFormat="1" ht="275.25" customHeight="1" x14ac:dyDescent="0.3">
      <c r="A4" s="284" t="s">
        <v>201</v>
      </c>
      <c r="B4" s="284"/>
      <c r="C4" s="284"/>
      <c r="D4" s="284"/>
      <c r="E4" s="42"/>
      <c r="F4" s="6"/>
      <c r="G4" s="7"/>
      <c r="H4" s="7"/>
      <c r="I4" s="7"/>
      <c r="J4" s="7"/>
      <c r="K4" s="7"/>
      <c r="L4" s="7"/>
      <c r="M4" s="7"/>
      <c r="N4" s="7"/>
      <c r="O4" s="7"/>
      <c r="P4" s="7"/>
      <c r="Q4" s="7"/>
      <c r="R4" s="7"/>
    </row>
    <row r="5" spans="1:18" s="2" customFormat="1" ht="18" customHeight="1" x14ac:dyDescent="0.3">
      <c r="A5" s="280" t="s">
        <v>186</v>
      </c>
      <c r="B5" s="281"/>
      <c r="C5" s="281"/>
      <c r="D5" s="282"/>
      <c r="E5" s="117"/>
      <c r="F5" s="8"/>
    </row>
    <row r="6" spans="1:18" s="9" customFormat="1" x14ac:dyDescent="0.3">
      <c r="A6" s="274"/>
      <c r="B6" s="274"/>
      <c r="C6" s="274"/>
      <c r="D6" s="274"/>
      <c r="E6" s="35"/>
      <c r="F6" s="4"/>
    </row>
    <row r="7" spans="1:18" s="9" customFormat="1" ht="11.25" customHeight="1" x14ac:dyDescent="0.3">
      <c r="A7" s="277"/>
      <c r="B7" s="277"/>
      <c r="C7" s="277"/>
      <c r="D7" s="277"/>
      <c r="E7" s="26"/>
    </row>
    <row r="8" spans="1:18" s="10" customFormat="1" ht="22.5" customHeight="1" x14ac:dyDescent="0.3">
      <c r="A8" s="118" t="s">
        <v>14</v>
      </c>
      <c r="B8" s="119"/>
      <c r="C8" s="119"/>
      <c r="D8" s="119"/>
      <c r="E8" s="32"/>
    </row>
    <row r="9" spans="1:18" s="10" customFormat="1" ht="18" customHeight="1" x14ac:dyDescent="0.3">
      <c r="A9" s="114" t="s">
        <v>15</v>
      </c>
      <c r="B9" s="11">
        <v>29</v>
      </c>
      <c r="C9" s="112" t="s">
        <v>16</v>
      </c>
      <c r="D9" s="113" t="str">
        <f>IF(B9&lt;25,"Fehler: Alter liegt unter 25 Jahren.",IF(AND(B10=1,B9&gt;64),"Fehler: Alter liegt über Pensionsalter oder ist fehlerhaft (keine Zahl).",IF(AND(B10=2,B9&gt;63),"Fehler: Alter liegt über dem Pensionsalter oder ist fehlerhaft (keine Zahl).","")))</f>
        <v/>
      </c>
      <c r="E9" s="32"/>
    </row>
    <row r="10" spans="1:18" s="10" customFormat="1" ht="44.25" customHeight="1" x14ac:dyDescent="0.3">
      <c r="A10" s="114" t="s">
        <v>17</v>
      </c>
      <c r="B10" s="12">
        <v>2</v>
      </c>
      <c r="C10" s="112" t="s">
        <v>18</v>
      </c>
      <c r="D10" s="113" t="str">
        <f>IF(AND(B10&lt;&gt;1,B10&lt;&gt;2),"Fehler: Geschlecht muss gleich 1 (männlich) oder gleich 2 (weiblich) sein (ist relevant für Pensionsalter).","")</f>
        <v/>
      </c>
      <c r="E10" s="32"/>
    </row>
    <row r="11" spans="1:18" s="9" customFormat="1" x14ac:dyDescent="0.3">
      <c r="A11" s="275"/>
      <c r="B11" s="275"/>
      <c r="C11" s="275"/>
      <c r="D11" s="275"/>
      <c r="E11" s="26"/>
    </row>
    <row r="12" spans="1:18" s="9" customFormat="1" x14ac:dyDescent="0.3">
      <c r="A12" s="268"/>
      <c r="B12" s="268"/>
      <c r="C12" s="268"/>
      <c r="D12" s="268"/>
      <c r="E12" s="35"/>
      <c r="F12" s="4"/>
    </row>
    <row r="13" spans="1:18" s="9" customFormat="1" ht="11.25" customHeight="1" x14ac:dyDescent="0.3">
      <c r="A13" s="263"/>
      <c r="B13" s="263"/>
      <c r="C13" s="263"/>
      <c r="D13" s="263"/>
      <c r="E13" s="27"/>
      <c r="F13" s="13"/>
    </row>
    <row r="14" spans="1:18" s="9" customFormat="1" ht="22.5" customHeight="1" x14ac:dyDescent="0.3">
      <c r="A14" s="77" t="s">
        <v>41</v>
      </c>
      <c r="B14" s="62"/>
      <c r="C14" s="62"/>
      <c r="D14" s="62"/>
      <c r="E14" s="26"/>
    </row>
    <row r="15" spans="1:18" s="10" customFormat="1" ht="36" customHeight="1" x14ac:dyDescent="0.3">
      <c r="A15" s="67" t="s">
        <v>92</v>
      </c>
      <c r="B15" s="11">
        <v>70000</v>
      </c>
      <c r="C15" s="105" t="s">
        <v>0</v>
      </c>
      <c r="D15" s="111" t="str">
        <f>IF(B15="","Fehler: Bitte Wert eingeben.","")</f>
        <v/>
      </c>
      <c r="E15" s="32"/>
    </row>
    <row r="16" spans="1:18" s="10" customFormat="1" ht="18" customHeight="1" x14ac:dyDescent="0.3">
      <c r="A16" s="67" t="s">
        <v>19</v>
      </c>
      <c r="B16" s="12">
        <v>90</v>
      </c>
      <c r="C16" s="105" t="s">
        <v>22</v>
      </c>
      <c r="D16" s="111" t="str">
        <f>IF(B16="","Fehler: Bitte Wert eingeben.","")</f>
        <v/>
      </c>
      <c r="E16" s="32"/>
    </row>
    <row r="17" spans="1:6" s="10" customFormat="1" ht="18" customHeight="1" x14ac:dyDescent="0.3">
      <c r="A17" s="67" t="s">
        <v>20</v>
      </c>
      <c r="B17" s="12">
        <v>60</v>
      </c>
      <c r="C17" s="105" t="s">
        <v>22</v>
      </c>
      <c r="D17" s="111" t="str">
        <f>IF(B17="","Fehler: Bitte Wert eingeben.","")</f>
        <v/>
      </c>
      <c r="E17" s="32"/>
    </row>
    <row r="18" spans="1:6" s="10" customFormat="1" ht="18" customHeight="1" x14ac:dyDescent="0.3">
      <c r="A18" s="143" t="s">
        <v>21</v>
      </c>
      <c r="B18" s="130">
        <f>B15/B16*B17</f>
        <v>46666.666666666672</v>
      </c>
      <c r="C18" s="144" t="s">
        <v>0</v>
      </c>
      <c r="D18" s="106"/>
      <c r="E18" s="32"/>
    </row>
    <row r="19" spans="1:6" s="9" customFormat="1" x14ac:dyDescent="0.25">
      <c r="A19" s="71"/>
      <c r="B19" s="60"/>
      <c r="C19" s="61"/>
      <c r="D19" s="62"/>
      <c r="E19" s="26"/>
    </row>
    <row r="20" spans="1:6" s="9" customFormat="1" x14ac:dyDescent="0.3">
      <c r="A20" s="268"/>
      <c r="B20" s="268"/>
      <c r="C20" s="268"/>
      <c r="D20" s="268"/>
      <c r="E20" s="35"/>
      <c r="F20" s="4"/>
    </row>
    <row r="21" spans="1:6" s="9" customFormat="1" ht="11.25" customHeight="1" x14ac:dyDescent="0.3">
      <c r="A21" s="263"/>
      <c r="B21" s="263"/>
      <c r="C21" s="263"/>
      <c r="D21" s="263"/>
      <c r="E21" s="27"/>
      <c r="F21" s="13"/>
    </row>
    <row r="22" spans="1:6" s="9" customFormat="1" ht="22.5" customHeight="1" x14ac:dyDescent="0.3">
      <c r="A22" s="77" t="s">
        <v>23</v>
      </c>
      <c r="B22" s="62"/>
      <c r="C22" s="62"/>
      <c r="D22" s="62"/>
      <c r="E22" s="26"/>
    </row>
    <row r="23" spans="1:6" s="10" customFormat="1" ht="33" customHeight="1" x14ac:dyDescent="0.3">
      <c r="A23" s="67" t="s">
        <v>93</v>
      </c>
      <c r="B23" s="11">
        <v>43988</v>
      </c>
      <c r="C23" s="105" t="s">
        <v>0</v>
      </c>
      <c r="D23" s="111" t="str">
        <f>IF(B23="","Fehler: Bitte Wert eingeben.","")</f>
        <v/>
      </c>
      <c r="E23" s="32"/>
    </row>
    <row r="24" spans="1:6" s="10" customFormat="1" ht="18" customHeight="1" x14ac:dyDescent="0.3">
      <c r="A24" s="67" t="s">
        <v>24</v>
      </c>
      <c r="B24" s="11">
        <v>30</v>
      </c>
      <c r="C24" s="105" t="s">
        <v>22</v>
      </c>
      <c r="D24" s="111" t="str">
        <f>IF(B24="","Fehler: Bitte Wert eingeben.","")</f>
        <v/>
      </c>
      <c r="E24" s="32"/>
    </row>
    <row r="25" spans="1:6" s="10" customFormat="1" ht="18" customHeight="1" x14ac:dyDescent="0.3">
      <c r="A25" s="143" t="s">
        <v>25</v>
      </c>
      <c r="B25" s="130">
        <f>B23*B24/100</f>
        <v>13196.4</v>
      </c>
      <c r="C25" s="144" t="s">
        <v>0</v>
      </c>
      <c r="D25" s="106"/>
      <c r="E25" s="32"/>
    </row>
    <row r="26" spans="1:6" s="10" customFormat="1" ht="9" customHeight="1" x14ac:dyDescent="0.3">
      <c r="A26" s="276"/>
      <c r="B26" s="276"/>
      <c r="C26" s="276"/>
      <c r="D26" s="276"/>
      <c r="E26" s="32"/>
    </row>
    <row r="27" spans="1:6" s="9" customFormat="1" ht="48" customHeight="1" x14ac:dyDescent="0.3">
      <c r="A27" s="258" t="s">
        <v>222</v>
      </c>
      <c r="B27" s="258"/>
      <c r="C27" s="258"/>
      <c r="D27" s="258"/>
      <c r="E27" s="27"/>
      <c r="F27" s="13"/>
    </row>
    <row r="28" spans="1:6" s="9" customFormat="1" ht="27" customHeight="1" x14ac:dyDescent="0.3">
      <c r="A28" s="259" t="s">
        <v>28</v>
      </c>
      <c r="B28" s="260"/>
      <c r="C28" s="260"/>
      <c r="D28" s="260"/>
      <c r="E28" s="26"/>
    </row>
    <row r="29" spans="1:6" s="9" customFormat="1" ht="48" customHeight="1" x14ac:dyDescent="0.3">
      <c r="A29" s="258" t="s">
        <v>203</v>
      </c>
      <c r="B29" s="258"/>
      <c r="C29" s="258"/>
      <c r="D29" s="258"/>
      <c r="E29" s="27"/>
      <c r="F29" s="13"/>
    </row>
    <row r="30" spans="1:6" s="9" customFormat="1" ht="15" customHeight="1" x14ac:dyDescent="0.3">
      <c r="A30" s="263"/>
      <c r="B30" s="263"/>
      <c r="C30" s="263"/>
      <c r="D30" s="263"/>
      <c r="E30" s="27"/>
      <c r="F30" s="13"/>
    </row>
    <row r="31" spans="1:6" s="9" customFormat="1" x14ac:dyDescent="0.3">
      <c r="A31" s="268"/>
      <c r="B31" s="268"/>
      <c r="C31" s="268"/>
      <c r="D31" s="268"/>
      <c r="E31" s="35"/>
      <c r="F31" s="4"/>
    </row>
    <row r="32" spans="1:6" s="10" customFormat="1" ht="36" customHeight="1" x14ac:dyDescent="0.3">
      <c r="A32" s="145" t="s">
        <v>26</v>
      </c>
      <c r="B32" s="146">
        <f>B18+B25</f>
        <v>59863.066666666673</v>
      </c>
      <c r="C32" s="147" t="s">
        <v>0</v>
      </c>
      <c r="D32" s="107"/>
      <c r="E32" s="32"/>
    </row>
    <row r="33" spans="1:6" s="9" customFormat="1" x14ac:dyDescent="0.3">
      <c r="A33" s="268"/>
      <c r="B33" s="268"/>
      <c r="C33" s="268"/>
      <c r="D33" s="268"/>
      <c r="E33" s="35"/>
      <c r="F33" s="4"/>
    </row>
    <row r="34" spans="1:6" s="9" customFormat="1" ht="11.25" customHeight="1" x14ac:dyDescent="0.3">
      <c r="A34" s="264"/>
      <c r="B34" s="264"/>
      <c r="C34" s="264"/>
      <c r="D34" s="264"/>
      <c r="E34" s="27"/>
      <c r="F34" s="13"/>
    </row>
    <row r="35" spans="1:6" s="9" customFormat="1" ht="22.5" customHeight="1" x14ac:dyDescent="0.3">
      <c r="A35" s="108" t="s">
        <v>66</v>
      </c>
      <c r="B35" s="109"/>
      <c r="C35" s="109"/>
      <c r="D35" s="109"/>
      <c r="E35" s="26"/>
    </row>
    <row r="36" spans="1:6" s="9" customFormat="1" ht="48" customHeight="1" x14ac:dyDescent="0.3">
      <c r="A36" s="267" t="s">
        <v>40</v>
      </c>
      <c r="B36" s="267"/>
      <c r="C36" s="267"/>
      <c r="D36" s="267"/>
      <c r="E36" s="27"/>
      <c r="F36" s="13"/>
    </row>
    <row r="37" spans="1:6" s="9" customFormat="1" ht="26.25" customHeight="1" x14ac:dyDescent="0.3">
      <c r="A37" s="266" t="s">
        <v>33</v>
      </c>
      <c r="B37" s="266"/>
      <c r="C37" s="266"/>
      <c r="D37" s="266"/>
      <c r="E37" s="58"/>
      <c r="F37" s="14"/>
    </row>
    <row r="38" spans="1:6" s="9" customFormat="1" ht="18" customHeight="1" x14ac:dyDescent="0.3">
      <c r="A38" s="267" t="s">
        <v>192</v>
      </c>
      <c r="B38" s="267"/>
      <c r="C38" s="267"/>
      <c r="D38" s="267"/>
      <c r="E38" s="27"/>
      <c r="F38" s="13"/>
    </row>
    <row r="39" spans="1:6" s="9" customFormat="1" ht="27" customHeight="1" x14ac:dyDescent="0.3">
      <c r="A39" s="266" t="s">
        <v>32</v>
      </c>
      <c r="B39" s="266"/>
      <c r="C39" s="266"/>
      <c r="D39" s="266"/>
      <c r="E39" s="58"/>
      <c r="F39" s="14"/>
    </row>
    <row r="40" spans="1:6" s="9" customFormat="1" ht="36" customHeight="1" x14ac:dyDescent="0.3">
      <c r="A40" s="267" t="s">
        <v>193</v>
      </c>
      <c r="B40" s="267"/>
      <c r="C40" s="267"/>
      <c r="D40" s="267"/>
      <c r="E40" s="27"/>
      <c r="F40" s="13"/>
    </row>
    <row r="41" spans="1:6" s="9" customFormat="1" ht="27" customHeight="1" x14ac:dyDescent="0.3">
      <c r="A41" s="289" t="s">
        <v>119</v>
      </c>
      <c r="B41" s="289"/>
      <c r="C41" s="289"/>
      <c r="D41" s="289"/>
      <c r="E41" s="96"/>
      <c r="F41" s="15"/>
    </row>
    <row r="42" spans="1:6" s="10" customFormat="1" ht="36" customHeight="1" x14ac:dyDescent="0.3">
      <c r="A42" s="102" t="s">
        <v>86</v>
      </c>
      <c r="B42" s="103">
        <f>B15*0.053</f>
        <v>3710</v>
      </c>
      <c r="C42" s="99" t="s">
        <v>0</v>
      </c>
      <c r="D42" s="110"/>
      <c r="E42" s="101"/>
      <c r="F42" s="16"/>
    </row>
    <row r="43" spans="1:6" s="10" customFormat="1" ht="36" customHeight="1" x14ac:dyDescent="0.3">
      <c r="A43" s="102" t="s">
        <v>27</v>
      </c>
      <c r="B43" s="103">
        <f>B15</f>
        <v>70000</v>
      </c>
      <c r="C43" s="99" t="s">
        <v>0</v>
      </c>
      <c r="D43" s="104"/>
      <c r="E43" s="101"/>
      <c r="F43" s="16"/>
    </row>
    <row r="44" spans="1:6" s="10" customFormat="1" ht="18" customHeight="1" x14ac:dyDescent="0.3">
      <c r="A44" s="102" t="s">
        <v>72</v>
      </c>
      <c r="B44" s="11">
        <v>2000</v>
      </c>
      <c r="C44" s="99" t="s">
        <v>0</v>
      </c>
      <c r="D44" s="100" t="str">
        <f>IF(B44="","Fehler: Bitte Wert eingeben.","")</f>
        <v/>
      </c>
      <c r="E44" s="101"/>
      <c r="F44" s="16"/>
    </row>
    <row r="45" spans="1:6" s="9" customFormat="1" ht="36" customHeight="1" x14ac:dyDescent="0.3">
      <c r="A45" s="289" t="s">
        <v>223</v>
      </c>
      <c r="B45" s="289"/>
      <c r="C45" s="289"/>
      <c r="D45" s="289"/>
      <c r="E45" s="96"/>
      <c r="F45" s="15"/>
    </row>
    <row r="46" spans="1:6" s="10" customFormat="1" ht="36" customHeight="1" x14ac:dyDescent="0.3">
      <c r="A46" s="102" t="s">
        <v>86</v>
      </c>
      <c r="B46" s="103">
        <f>B32*0.053</f>
        <v>3172.7425333333335</v>
      </c>
      <c r="C46" s="99" t="s">
        <v>0</v>
      </c>
      <c r="D46" s="104"/>
      <c r="E46" s="101"/>
      <c r="F46" s="16"/>
    </row>
    <row r="47" spans="1:6" s="10" customFormat="1" ht="18" customHeight="1" x14ac:dyDescent="0.3">
      <c r="A47" s="102" t="s">
        <v>27</v>
      </c>
      <c r="B47" s="103">
        <f>B32</f>
        <v>59863.066666666673</v>
      </c>
      <c r="C47" s="99" t="s">
        <v>0</v>
      </c>
      <c r="D47" s="104"/>
      <c r="E47" s="101"/>
      <c r="F47" s="16"/>
    </row>
    <row r="48" spans="1:6" s="10" customFormat="1" ht="18" customHeight="1" x14ac:dyDescent="0.3">
      <c r="A48" s="102" t="s">
        <v>72</v>
      </c>
      <c r="B48" s="11">
        <v>1800</v>
      </c>
      <c r="C48" s="99" t="s">
        <v>0</v>
      </c>
      <c r="D48" s="100" t="str">
        <f>IF(B48="","Fehler: Bitte Wert eingeben.","")</f>
        <v/>
      </c>
      <c r="E48" s="101"/>
      <c r="F48" s="16"/>
    </row>
    <row r="49" spans="1:6" s="9" customFormat="1" ht="15" customHeight="1" x14ac:dyDescent="0.3">
      <c r="A49" s="264"/>
      <c r="B49" s="264"/>
      <c r="C49" s="264"/>
      <c r="D49" s="264"/>
      <c r="E49" s="96"/>
      <c r="F49" s="15"/>
    </row>
    <row r="50" spans="1:6" s="9" customFormat="1" x14ac:dyDescent="0.3">
      <c r="A50" s="268"/>
      <c r="B50" s="268"/>
      <c r="C50" s="268"/>
      <c r="D50" s="268"/>
      <c r="E50" s="35"/>
      <c r="F50" s="4"/>
    </row>
    <row r="51" spans="1:6" s="9" customFormat="1" ht="11.25" customHeight="1" x14ac:dyDescent="0.3">
      <c r="A51" s="265"/>
      <c r="B51" s="265"/>
      <c r="C51" s="265"/>
      <c r="D51" s="265"/>
      <c r="E51" s="27"/>
      <c r="F51" s="13"/>
    </row>
    <row r="52" spans="1:6" s="9" customFormat="1" ht="22.5" customHeight="1" x14ac:dyDescent="0.3">
      <c r="A52" s="97" t="s">
        <v>43</v>
      </c>
      <c r="B52" s="90"/>
      <c r="C52" s="90"/>
      <c r="D52" s="90"/>
      <c r="E52" s="26"/>
    </row>
    <row r="53" spans="1:6" s="9" customFormat="1" ht="62.85" customHeight="1" x14ac:dyDescent="0.3">
      <c r="A53" s="261" t="s">
        <v>205</v>
      </c>
      <c r="B53" s="261"/>
      <c r="C53" s="261"/>
      <c r="D53" s="261"/>
      <c r="E53" s="27"/>
      <c r="F53" s="13"/>
    </row>
    <row r="54" spans="1:6" s="9" customFormat="1" ht="27" customHeight="1" x14ac:dyDescent="0.3">
      <c r="A54" s="262" t="s">
        <v>31</v>
      </c>
      <c r="B54" s="262"/>
      <c r="C54" s="262"/>
      <c r="D54" s="262"/>
      <c r="E54" s="58"/>
      <c r="F54" s="14"/>
    </row>
    <row r="55" spans="1:6" s="9" customFormat="1" ht="18" customHeight="1" x14ac:dyDescent="0.3">
      <c r="A55" s="261" t="s">
        <v>29</v>
      </c>
      <c r="B55" s="261"/>
      <c r="C55" s="261"/>
      <c r="D55" s="261"/>
      <c r="E55" s="27"/>
      <c r="F55" s="13"/>
    </row>
    <row r="56" spans="1:6" s="9" customFormat="1" ht="27" customHeight="1" x14ac:dyDescent="0.3">
      <c r="A56" s="262" t="s">
        <v>30</v>
      </c>
      <c r="B56" s="262"/>
      <c r="C56" s="262"/>
      <c r="D56" s="262"/>
      <c r="E56" s="58"/>
      <c r="F56" s="14"/>
    </row>
    <row r="57" spans="1:6" s="9" customFormat="1" ht="48.75" customHeight="1" x14ac:dyDescent="0.3">
      <c r="A57" s="261" t="s">
        <v>204</v>
      </c>
      <c r="B57" s="261"/>
      <c r="C57" s="261"/>
      <c r="D57" s="261"/>
      <c r="E57" s="58"/>
      <c r="F57" s="14"/>
    </row>
    <row r="58" spans="1:6" s="9" customFormat="1" ht="27" customHeight="1" x14ac:dyDescent="0.3">
      <c r="A58" s="290" t="s">
        <v>119</v>
      </c>
      <c r="B58" s="290"/>
      <c r="C58" s="290"/>
      <c r="D58" s="290"/>
      <c r="E58" s="58"/>
      <c r="F58" s="14"/>
    </row>
    <row r="59" spans="1:6" s="10" customFormat="1" ht="18" customHeight="1" x14ac:dyDescent="0.3">
      <c r="A59" s="80" t="s">
        <v>38</v>
      </c>
      <c r="B59" s="81">
        <f>IF(B15&gt;21509,B15*B64,IF(B65=1,B15*B64,0))</f>
        <v>4900.0000000000009</v>
      </c>
      <c r="C59" s="82" t="s">
        <v>0</v>
      </c>
      <c r="D59" s="98"/>
      <c r="E59" s="95"/>
      <c r="F59" s="17"/>
    </row>
    <row r="60" spans="1:6" s="10" customFormat="1" ht="36" customHeight="1" x14ac:dyDescent="0.3">
      <c r="A60" s="80" t="s">
        <v>74</v>
      </c>
      <c r="B60" s="11">
        <v>600000</v>
      </c>
      <c r="C60" s="82" t="s">
        <v>0</v>
      </c>
      <c r="D60" s="86" t="str">
        <f>IF(B60="","Fehler: Bitte Wert eingeben.","")</f>
        <v/>
      </c>
      <c r="E60" s="95"/>
      <c r="F60" s="17"/>
    </row>
    <row r="61" spans="1:6" s="9" customFormat="1" ht="27" customHeight="1" x14ac:dyDescent="0.3">
      <c r="A61" s="290" t="s">
        <v>217</v>
      </c>
      <c r="B61" s="290"/>
      <c r="C61" s="290"/>
      <c r="D61" s="290"/>
      <c r="E61" s="26"/>
    </row>
    <row r="62" spans="1:6" s="9" customFormat="1" ht="24" customHeight="1" x14ac:dyDescent="0.3">
      <c r="A62" s="87" t="s">
        <v>35</v>
      </c>
      <c r="B62" s="88"/>
      <c r="C62" s="90"/>
      <c r="D62" s="90"/>
      <c r="E62" s="26"/>
    </row>
    <row r="63" spans="1:6" s="10" customFormat="1" ht="18" customHeight="1" x14ac:dyDescent="0.3">
      <c r="A63" s="80" t="s">
        <v>34</v>
      </c>
      <c r="B63" s="92">
        <f>B18</f>
        <v>46666.666666666672</v>
      </c>
      <c r="C63" s="93" t="str">
        <f>IF(B63&gt;21510,"Bruttolohn liegt über dem Grenzwert.","Bruttolohn liegt unter dem Grenzwert.")</f>
        <v>Bruttolohn liegt über dem Grenzwert.</v>
      </c>
      <c r="D63" s="83"/>
      <c r="E63" s="32"/>
    </row>
    <row r="64" spans="1:6" s="10" customFormat="1" ht="18" customHeight="1" x14ac:dyDescent="0.3">
      <c r="A64" s="80" t="s">
        <v>36</v>
      </c>
      <c r="B64" s="94">
        <f>IF(AND(B10=1,B9&gt;64),"Fehler: Alter liegt über Pensionsalter.",IF(AND(B10=2,B9&gt;63),"Fehler: Alter liegt über dem Pensionsalter.",IF(B9&lt;35,0.07,IF(B9&lt;45,0.1,IF(B9&lt;55,0.15,0.18)))))</f>
        <v>7.0000000000000007E-2</v>
      </c>
      <c r="C64" s="83"/>
      <c r="D64" s="83"/>
      <c r="E64" s="32"/>
    </row>
    <row r="65" spans="1:10" s="10" customFormat="1" ht="36" customHeight="1" x14ac:dyDescent="0.3">
      <c r="A65" s="80" t="s">
        <v>96</v>
      </c>
      <c r="B65" s="11">
        <v>1</v>
      </c>
      <c r="C65" s="91" t="s">
        <v>37</v>
      </c>
      <c r="D65" s="86" t="str">
        <f>IF(OR(AND(B65&lt;&gt;1,B65&lt;&gt;0),B65=""),"Fehler: Eingabe muss 1 oder 0 sein.","")</f>
        <v/>
      </c>
      <c r="E65" s="32"/>
    </row>
    <row r="66" spans="1:10" s="10" customFormat="1" ht="18" customHeight="1" x14ac:dyDescent="0.3">
      <c r="A66" s="80" t="s">
        <v>38</v>
      </c>
      <c r="B66" s="81">
        <f>IF(B63&gt;21509,B63*B64,IF(B65=1,B63*B64,0))</f>
        <v>3266.6666666666674</v>
      </c>
      <c r="C66" s="82" t="s">
        <v>0</v>
      </c>
      <c r="D66" s="83"/>
      <c r="E66" s="32"/>
    </row>
    <row r="67" spans="1:10" s="9" customFormat="1" ht="24.75" customHeight="1" x14ac:dyDescent="0.3">
      <c r="A67" s="87" t="s">
        <v>39</v>
      </c>
      <c r="B67" s="88"/>
      <c r="C67" s="89"/>
      <c r="D67" s="90"/>
      <c r="E67" s="26"/>
    </row>
    <row r="68" spans="1:10" s="10" customFormat="1" ht="18" customHeight="1" x14ac:dyDescent="0.3">
      <c r="A68" s="80" t="s">
        <v>34</v>
      </c>
      <c r="B68" s="92">
        <f>B25</f>
        <v>13196.4</v>
      </c>
      <c r="C68" s="93" t="str">
        <f>IF(B68&gt;21510,"Bruttolohn liegt über dem Grenzwert.","Bruttolohn liegt unter dem Grenzwert.")</f>
        <v>Bruttolohn liegt unter dem Grenzwert.</v>
      </c>
      <c r="D68" s="83"/>
      <c r="E68" s="32"/>
    </row>
    <row r="69" spans="1:10" s="10" customFormat="1" ht="18" customHeight="1" x14ac:dyDescent="0.3">
      <c r="A69" s="80" t="s">
        <v>36</v>
      </c>
      <c r="B69" s="94">
        <f>IF(AND(B10=1,B9&gt;64),"Fehler: Alter liegt über Pensionsalter.",IF(AND(B10=2,B9&gt;63),"Fehler: Alter liegt über dem Pensionsalter.",IF(B9&lt;35,0.07,IF(B9&lt;45,0.1,IF(B9&lt;55,0.15,0.18)))))</f>
        <v>7.0000000000000007E-2</v>
      </c>
      <c r="C69" s="82"/>
      <c r="D69" s="83"/>
      <c r="E69" s="32"/>
    </row>
    <row r="70" spans="1:10" s="10" customFormat="1" ht="36" customHeight="1" x14ac:dyDescent="0.3">
      <c r="A70" s="80" t="s">
        <v>96</v>
      </c>
      <c r="B70" s="11">
        <v>1</v>
      </c>
      <c r="C70" s="91" t="s">
        <v>37</v>
      </c>
      <c r="D70" s="86" t="str">
        <f>IF(OR(AND(B70&lt;&gt;1,B70&lt;&gt;0),B70=""),"Fehler: Eingabe muss 1 oder 0 sein.","")</f>
        <v/>
      </c>
      <c r="E70" s="32"/>
      <c r="F70" s="285" t="s">
        <v>82</v>
      </c>
      <c r="G70" s="285"/>
      <c r="H70" s="285"/>
      <c r="I70" s="285"/>
      <c r="J70" s="285"/>
    </row>
    <row r="71" spans="1:10" s="10" customFormat="1" ht="18" customHeight="1" x14ac:dyDescent="0.3">
      <c r="A71" s="80" t="s">
        <v>38</v>
      </c>
      <c r="B71" s="81">
        <f>IF(B68&gt;21509,B68*B69,IF(B70=1,B68*B69,0))</f>
        <v>923.74800000000005</v>
      </c>
      <c r="C71" s="82"/>
      <c r="D71" s="83"/>
      <c r="E71" s="32"/>
      <c r="F71" s="120" t="s">
        <v>1</v>
      </c>
      <c r="G71" s="120" t="s">
        <v>42</v>
      </c>
      <c r="H71" s="120" t="s">
        <v>6</v>
      </c>
      <c r="I71" s="121" t="s">
        <v>52</v>
      </c>
      <c r="J71" s="121" t="s">
        <v>53</v>
      </c>
    </row>
    <row r="72" spans="1:10" s="9" customFormat="1" ht="24" customHeight="1" x14ac:dyDescent="0.3">
      <c r="A72" s="87" t="s">
        <v>87</v>
      </c>
      <c r="B72" s="88">
        <f>IF(OR(B63&gt;21509,B65=1),B63,0)+IF(OR(B68&gt;21509,B70=1),B68,0)</f>
        <v>59863.066666666673</v>
      </c>
      <c r="C72" s="89" t="s">
        <v>0</v>
      </c>
      <c r="D72" s="90"/>
      <c r="E72" s="26"/>
      <c r="F72" s="120" t="s">
        <v>2</v>
      </c>
      <c r="G72" s="122">
        <f>MIN(MAX(34-B9,0),9)</f>
        <v>5</v>
      </c>
      <c r="H72" s="123">
        <v>7.0000000000000007E-2</v>
      </c>
      <c r="I72" s="126">
        <f>$B$72*H72*1.01*(1.01^(30+G72)-1)/0.01-$B$72*H72*1.01*(1.01^30-1)/0.01</f>
        <v>29098.81734766002</v>
      </c>
      <c r="J72" s="126">
        <f>$B$72*H72*1.01*(1.01^(29+G72)-1)/0.01-$B$72*H72*1.01*(1.01^29-1)/0.01</f>
        <v>28810.710245208174</v>
      </c>
    </row>
    <row r="73" spans="1:10" s="9" customFormat="1" ht="24" customHeight="1" x14ac:dyDescent="0.3">
      <c r="A73" s="87" t="s">
        <v>8</v>
      </c>
      <c r="B73" s="88"/>
      <c r="C73" s="89"/>
      <c r="D73" s="90"/>
      <c r="E73" s="26"/>
      <c r="F73" s="120" t="s">
        <v>3</v>
      </c>
      <c r="G73" s="122">
        <f>MIN(MAX(44-B9,0),10)</f>
        <v>10</v>
      </c>
      <c r="H73" s="123">
        <v>0.1</v>
      </c>
      <c r="I73" s="126">
        <f>$B$72*H73*1.01*(1.01^(20+G73)-1)/0.01-$B$72*H73*1.01*(1.01^20-1)/0.01</f>
        <v>77184.722854379128</v>
      </c>
      <c r="J73" s="126">
        <f>$B$72*H73*1.01*(1.01^(19+G73)-1)/0.01-$B$72*H73*1.01*(1.01^19-1)/0.01</f>
        <v>76420.517677603028</v>
      </c>
    </row>
    <row r="74" spans="1:10" s="10" customFormat="1" ht="18" customHeight="1" x14ac:dyDescent="0.3">
      <c r="A74" s="80" t="s">
        <v>12</v>
      </c>
      <c r="B74" s="11">
        <v>100000</v>
      </c>
      <c r="C74" s="82" t="s">
        <v>0</v>
      </c>
      <c r="D74" s="86" t="str">
        <f>IF(B74="","Fehler: Bitte Wert eingeben.","")</f>
        <v/>
      </c>
      <c r="E74" s="32"/>
      <c r="F74" s="120" t="s">
        <v>4</v>
      </c>
      <c r="G74" s="122">
        <f>MIN(MAX(54-B9,0),10)</f>
        <v>10</v>
      </c>
      <c r="H74" s="123">
        <v>0.15</v>
      </c>
      <c r="I74" s="126">
        <f>$B$72*H74*1.01*(1.01^(10+G74)-1)/0.01-$B$72*H74*1.01*(1.01^10-1)/0.01</f>
        <v>104811.48405249386</v>
      </c>
      <c r="J74" s="126">
        <f>$B$72*H74*1.01*(1.01^(9+G74)-1)/0.01-$B$72*H74*1.01*(1.01^9-1)/0.01</f>
        <v>103773.74658662749</v>
      </c>
    </row>
    <row r="75" spans="1:10" s="10" customFormat="1" ht="18" customHeight="1" x14ac:dyDescent="0.3">
      <c r="A75" s="80" t="s">
        <v>81</v>
      </c>
      <c r="B75" s="81">
        <f>IF(B10=1,B74*1.01^(64-B9)+I76,IF(B10=2,B74*1.01^(63-B9)+J76,"Fehler: Bitte Alter, Geschlecht und Pensionskassenangaben oben eingeben."))</f>
        <v>451221.34395578352</v>
      </c>
      <c r="C75" s="82" t="s">
        <v>0</v>
      </c>
      <c r="D75" s="292" t="s">
        <v>123</v>
      </c>
      <c r="E75" s="32"/>
      <c r="F75" s="120" t="s">
        <v>5</v>
      </c>
      <c r="G75" s="122">
        <f>IF(B10=2,MIN(MAX(63-B9,0),9),IF(B10=1,MIN(MAX(64-B9,0),10),"Fehler: Bitte zu Beginn Alter und Geschlecht korrekt eingeben"))</f>
        <v>9</v>
      </c>
      <c r="H75" s="124">
        <v>0.18</v>
      </c>
      <c r="I75" s="127">
        <f>$B$72*H75*1.01*(1.01^(G75)-1)/0.01</f>
        <v>101958.67082938757</v>
      </c>
      <c r="J75" s="127">
        <f>$B$72*H75*1.01*(1.01^(G75)-1)/0.01</f>
        <v>101958.67082938757</v>
      </c>
    </row>
    <row r="76" spans="1:10" s="9" customFormat="1" ht="15" customHeight="1" x14ac:dyDescent="0.3">
      <c r="A76" s="152"/>
      <c r="B76" s="152"/>
      <c r="C76" s="152"/>
      <c r="D76" s="292"/>
      <c r="E76" s="26"/>
      <c r="F76" s="128"/>
      <c r="G76" s="128"/>
      <c r="H76" s="125" t="s">
        <v>7</v>
      </c>
      <c r="I76" s="126" t="str">
        <f>IF(B10=1,SUM(I72:I75),"-")</f>
        <v>-</v>
      </c>
      <c r="J76" s="126">
        <f>IF(B10=2,SUM(J72:J75),"-")</f>
        <v>310963.64533882623</v>
      </c>
    </row>
    <row r="77" spans="1:10" s="9" customFormat="1" ht="15" customHeight="1" x14ac:dyDescent="0.3">
      <c r="A77" s="265"/>
      <c r="B77" s="265"/>
      <c r="C77" s="265"/>
      <c r="D77" s="265"/>
      <c r="E77" s="26"/>
      <c r="F77" s="128"/>
      <c r="G77" s="128"/>
      <c r="H77" s="150"/>
      <c r="I77" s="151"/>
      <c r="J77" s="151"/>
    </row>
    <row r="78" spans="1:10" s="9" customFormat="1" ht="15" customHeight="1" x14ac:dyDescent="0.3">
      <c r="A78" s="286"/>
      <c r="B78" s="286"/>
      <c r="C78" s="286"/>
      <c r="D78" s="286"/>
      <c r="E78" s="35"/>
      <c r="F78" s="256"/>
      <c r="G78" s="257"/>
      <c r="H78" s="257"/>
      <c r="I78" s="257"/>
      <c r="J78" s="257"/>
    </row>
    <row r="79" spans="1:10" s="9" customFormat="1" ht="11.25" customHeight="1" x14ac:dyDescent="0.3">
      <c r="A79" s="287"/>
      <c r="B79" s="287"/>
      <c r="C79" s="287"/>
      <c r="D79" s="287"/>
      <c r="E79" s="26"/>
    </row>
    <row r="80" spans="1:10" s="9" customFormat="1" ht="22.5" customHeight="1" x14ac:dyDescent="0.3">
      <c r="A80" s="84" t="s">
        <v>44</v>
      </c>
      <c r="B80" s="85"/>
      <c r="C80" s="85"/>
      <c r="D80" s="85"/>
      <c r="E80" s="26"/>
    </row>
    <row r="81" spans="1:6" s="10" customFormat="1" ht="35.25" customHeight="1" x14ac:dyDescent="0.3">
      <c r="A81" s="72" t="s">
        <v>45</v>
      </c>
      <c r="B81" s="11">
        <v>68000</v>
      </c>
      <c r="C81" s="74" t="s">
        <v>0</v>
      </c>
      <c r="D81" s="79" t="str">
        <f>IF(B81="","Fehler: Bitte Wert eingeben.","")</f>
        <v/>
      </c>
      <c r="E81" s="32"/>
    </row>
    <row r="82" spans="1:6" s="9" customFormat="1" ht="27" customHeight="1" x14ac:dyDescent="0.3">
      <c r="A82" s="293" t="s">
        <v>119</v>
      </c>
      <c r="B82" s="293"/>
      <c r="C82" s="293"/>
      <c r="D82" s="293"/>
      <c r="E82" s="58"/>
      <c r="F82" s="14"/>
    </row>
    <row r="83" spans="1:6" s="10" customFormat="1" ht="36" customHeight="1" x14ac:dyDescent="0.3">
      <c r="A83" s="72" t="s">
        <v>46</v>
      </c>
      <c r="B83" s="11">
        <v>6000</v>
      </c>
      <c r="C83" s="74" t="s">
        <v>0</v>
      </c>
      <c r="D83" s="79" t="str">
        <f>IF(B83="","Fehler: Bitte Wert eingeben.","")</f>
        <v/>
      </c>
      <c r="E83" s="32"/>
    </row>
    <row r="84" spans="1:6" s="10" customFormat="1" ht="18" customHeight="1" x14ac:dyDescent="0.3">
      <c r="A84" s="72" t="s">
        <v>122</v>
      </c>
      <c r="B84" s="73">
        <f>IF(B10=1,B83*1.01*(1.01^(64-B9)-1)/0.01+B81*1.01^(64-B9),IF(B10=2,B83*1.01*(1.01^(63-B9)-1)/0.01+B81*1.01^(63-B9),"Bitte überprüfen Sie Ihre Geschlechts- und Alteresangabe"))</f>
        <v>339336.88867829199</v>
      </c>
      <c r="C84" s="74" t="s">
        <v>0</v>
      </c>
      <c r="D84" s="291" t="s">
        <v>123</v>
      </c>
      <c r="E84" s="32"/>
    </row>
    <row r="85" spans="1:6" s="10" customFormat="1" ht="15" customHeight="1" x14ac:dyDescent="0.3">
      <c r="A85" s="72"/>
      <c r="B85" s="73"/>
      <c r="C85" s="74"/>
      <c r="D85" s="291"/>
      <c r="E85" s="32"/>
    </row>
    <row r="86" spans="1:6" s="9" customFormat="1" ht="27" customHeight="1" x14ac:dyDescent="0.3">
      <c r="A86" s="293" t="s">
        <v>118</v>
      </c>
      <c r="B86" s="293"/>
      <c r="C86" s="293"/>
      <c r="D86" s="293"/>
      <c r="E86" s="58"/>
      <c r="F86" s="14"/>
    </row>
    <row r="87" spans="1:6" s="10" customFormat="1" ht="36" customHeight="1" x14ac:dyDescent="0.3">
      <c r="A87" s="72" t="s">
        <v>46</v>
      </c>
      <c r="B87" s="11">
        <v>5000</v>
      </c>
      <c r="C87" s="74" t="s">
        <v>0</v>
      </c>
      <c r="D87" s="79" t="str">
        <f>IF(B87="","Fehler: Bitte Wert eingeben.","")</f>
        <v/>
      </c>
      <c r="E87" s="32"/>
    </row>
    <row r="88" spans="1:6" s="10" customFormat="1" ht="18" customHeight="1" x14ac:dyDescent="0.3">
      <c r="A88" s="72" t="s">
        <v>122</v>
      </c>
      <c r="B88" s="73">
        <f>IF(B10=1,B87*1.01*(1.01^(64-B9)-1)/0.01+B81*1.01^(64-B9),IF(B10=2,B87*1.01*(1.01^(63-B9)-1)/0.01+B81*1.01^(63-B9),"Bitte überprüfen Sie Ihre Geschlechts- und Alteresangabe"))</f>
        <v>298676.61307516514</v>
      </c>
      <c r="C88" s="74" t="s">
        <v>0</v>
      </c>
      <c r="D88" s="291" t="s">
        <v>123</v>
      </c>
      <c r="E88" s="32"/>
    </row>
    <row r="89" spans="1:6" s="10" customFormat="1" ht="15" customHeight="1" x14ac:dyDescent="0.3">
      <c r="A89" s="252"/>
      <c r="B89" s="252"/>
      <c r="C89" s="252"/>
      <c r="D89" s="291"/>
      <c r="E89" s="32"/>
    </row>
    <row r="90" spans="1:6" s="10" customFormat="1" ht="15" customHeight="1" x14ac:dyDescent="0.3">
      <c r="A90" s="288"/>
      <c r="B90" s="288"/>
      <c r="C90" s="288"/>
      <c r="D90" s="288"/>
      <c r="E90" s="32"/>
    </row>
    <row r="91" spans="1:6" s="9" customFormat="1" x14ac:dyDescent="0.3">
      <c r="A91" s="268"/>
      <c r="B91" s="268"/>
      <c r="C91" s="268"/>
      <c r="D91" s="268"/>
      <c r="E91" s="35"/>
      <c r="F91" s="4"/>
    </row>
    <row r="92" spans="1:6" s="9" customFormat="1" ht="11.25" customHeight="1" x14ac:dyDescent="0.3">
      <c r="A92" s="296"/>
      <c r="B92" s="296"/>
      <c r="C92" s="296"/>
      <c r="D92" s="296"/>
      <c r="E92" s="26"/>
      <c r="F92" s="4"/>
    </row>
    <row r="93" spans="1:6" s="9" customFormat="1" ht="31.5" customHeight="1" x14ac:dyDescent="0.3">
      <c r="A93" s="40" t="s">
        <v>198</v>
      </c>
      <c r="B93" s="41"/>
      <c r="C93" s="41"/>
      <c r="D93" s="41"/>
      <c r="E93" s="26"/>
    </row>
    <row r="94" spans="1:6" s="9" customFormat="1" ht="93" customHeight="1" x14ac:dyDescent="0.3">
      <c r="A94" s="271" t="s">
        <v>194</v>
      </c>
      <c r="B94" s="271"/>
      <c r="C94" s="271"/>
      <c r="D94" s="271"/>
      <c r="E94" s="27"/>
      <c r="F94" s="13"/>
    </row>
    <row r="95" spans="1:6" s="9" customFormat="1" ht="36" customHeight="1" x14ac:dyDescent="0.3">
      <c r="A95" s="272" t="s">
        <v>47</v>
      </c>
      <c r="B95" s="272"/>
      <c r="C95" s="272"/>
      <c r="D95" s="272"/>
      <c r="E95" s="75"/>
      <c r="F95" s="18"/>
    </row>
    <row r="96" spans="1:6" s="9" customFormat="1" ht="137.55000000000001" customHeight="1" x14ac:dyDescent="0.3">
      <c r="A96" s="271" t="s">
        <v>206</v>
      </c>
      <c r="B96" s="271"/>
      <c r="C96" s="271"/>
      <c r="D96" s="271"/>
      <c r="E96" s="27"/>
      <c r="F96" s="13"/>
    </row>
    <row r="97" spans="1:6" s="9" customFormat="1" ht="30" customHeight="1" x14ac:dyDescent="0.3">
      <c r="A97" s="272" t="s">
        <v>48</v>
      </c>
      <c r="B97" s="272"/>
      <c r="C97" s="272"/>
      <c r="D97" s="272"/>
      <c r="E97" s="75"/>
      <c r="F97" s="18"/>
    </row>
    <row r="98" spans="1:6" s="9" customFormat="1" ht="15" customHeight="1" x14ac:dyDescent="0.3">
      <c r="A98" s="271" t="s">
        <v>49</v>
      </c>
      <c r="B98" s="271"/>
      <c r="C98" s="271"/>
      <c r="D98" s="271"/>
      <c r="E98" s="27"/>
      <c r="F98" s="13"/>
    </row>
    <row r="99" spans="1:6" s="9" customFormat="1" ht="35.25" customHeight="1" x14ac:dyDescent="0.3">
      <c r="A99" s="273" t="s">
        <v>50</v>
      </c>
      <c r="B99" s="273"/>
      <c r="C99" s="273"/>
      <c r="D99" s="273"/>
      <c r="E99" s="26"/>
    </row>
    <row r="100" spans="1:6" s="9" customFormat="1" ht="48" customHeight="1" x14ac:dyDescent="0.3">
      <c r="A100" s="271" t="s">
        <v>64</v>
      </c>
      <c r="B100" s="271"/>
      <c r="C100" s="271"/>
      <c r="D100" s="271"/>
      <c r="E100" s="26"/>
    </row>
    <row r="101" spans="1:6" s="9" customFormat="1" ht="35.25" customHeight="1" x14ac:dyDescent="0.3">
      <c r="A101" s="273" t="s">
        <v>51</v>
      </c>
      <c r="B101" s="273"/>
      <c r="C101" s="273"/>
      <c r="D101" s="273"/>
      <c r="E101" s="26"/>
    </row>
    <row r="102" spans="1:6" s="9" customFormat="1" ht="15.75" customHeight="1" x14ac:dyDescent="0.3">
      <c r="A102" s="268"/>
      <c r="B102" s="268"/>
      <c r="C102" s="268"/>
      <c r="D102" s="268"/>
      <c r="E102" s="76"/>
      <c r="F102" s="19"/>
    </row>
    <row r="103" spans="1:6" s="9" customFormat="1" ht="11.25" customHeight="1" x14ac:dyDescent="0.3">
      <c r="A103" s="251"/>
      <c r="B103" s="251"/>
      <c r="C103" s="251"/>
      <c r="D103" s="251"/>
      <c r="E103" s="76"/>
      <c r="F103" s="19"/>
    </row>
    <row r="104" spans="1:6" s="9" customFormat="1" ht="22.5" customHeight="1" x14ac:dyDescent="0.3">
      <c r="A104" s="77" t="s">
        <v>112</v>
      </c>
      <c r="B104" s="62"/>
      <c r="C104" s="62"/>
      <c r="D104" s="62"/>
      <c r="E104" s="26"/>
    </row>
    <row r="105" spans="1:6" s="9" customFormat="1" ht="81" customHeight="1" x14ac:dyDescent="0.3">
      <c r="A105" s="258" t="s">
        <v>127</v>
      </c>
      <c r="B105" s="258"/>
      <c r="C105" s="258"/>
      <c r="D105" s="258"/>
      <c r="E105" s="27"/>
      <c r="F105" s="13"/>
    </row>
    <row r="106" spans="1:6" s="9" customFormat="1" ht="27" customHeight="1" x14ac:dyDescent="0.3">
      <c r="A106" s="300" t="s">
        <v>119</v>
      </c>
      <c r="B106" s="300"/>
      <c r="C106" s="300"/>
      <c r="D106" s="300"/>
      <c r="E106" s="58"/>
      <c r="F106" s="14"/>
    </row>
    <row r="107" spans="1:6" s="21" customFormat="1" ht="60" customHeight="1" x14ac:dyDescent="0.25">
      <c r="A107" s="67" t="s">
        <v>202</v>
      </c>
      <c r="B107" s="78"/>
      <c r="C107" s="78"/>
      <c r="D107" s="78"/>
      <c r="E107" s="68"/>
      <c r="F107" s="20"/>
    </row>
    <row r="108" spans="1:6" s="10" customFormat="1" ht="18" customHeight="1" x14ac:dyDescent="0.3">
      <c r="A108" s="67" t="s">
        <v>54</v>
      </c>
      <c r="B108" s="11">
        <v>55000</v>
      </c>
      <c r="C108" s="54" t="s">
        <v>0</v>
      </c>
      <c r="D108" s="55" t="str">
        <f>IF(B108="","Fehler: Bitte Wert eingeben.","")</f>
        <v/>
      </c>
      <c r="E108" s="57"/>
      <c r="F108" s="22"/>
    </row>
    <row r="109" spans="1:6" s="10" customFormat="1" ht="18" customHeight="1" x14ac:dyDescent="0.3">
      <c r="A109" s="67" t="s">
        <v>55</v>
      </c>
      <c r="B109" s="11">
        <v>56000</v>
      </c>
      <c r="C109" s="54" t="s">
        <v>0</v>
      </c>
      <c r="D109" s="55" t="str">
        <f>IF(B109="","Fehler: Bitte Wert eingeben.","")</f>
        <v/>
      </c>
      <c r="E109" s="57"/>
      <c r="F109" s="22"/>
    </row>
    <row r="110" spans="1:6" s="9" customFormat="1" ht="35.25" customHeight="1" x14ac:dyDescent="0.3">
      <c r="A110" s="67" t="s">
        <v>108</v>
      </c>
      <c r="B110" s="69"/>
      <c r="C110" s="69"/>
      <c r="D110" s="69"/>
      <c r="E110" s="27"/>
      <c r="F110" s="13"/>
    </row>
    <row r="111" spans="1:6" s="9" customFormat="1" x14ac:dyDescent="0.25">
      <c r="A111" s="71" t="s">
        <v>54</v>
      </c>
      <c r="B111" s="23">
        <v>5500</v>
      </c>
      <c r="C111" s="69" t="s">
        <v>0</v>
      </c>
      <c r="D111" s="70" t="str">
        <f>IF(B111="","Fehler: Bitte Wert eingeben.","")</f>
        <v/>
      </c>
      <c r="E111" s="27"/>
      <c r="F111" s="13"/>
    </row>
    <row r="112" spans="1:6" s="9" customFormat="1" x14ac:dyDescent="0.25">
      <c r="A112" s="71" t="s">
        <v>55</v>
      </c>
      <c r="B112" s="23">
        <v>400</v>
      </c>
      <c r="C112" s="69" t="s">
        <v>0</v>
      </c>
      <c r="D112" s="70" t="str">
        <f>IF(B112="","Fehler: Bitte Wert eingeben.","")</f>
        <v/>
      </c>
      <c r="E112" s="27"/>
      <c r="F112" s="13"/>
    </row>
    <row r="113" spans="1:6" s="9" customFormat="1" ht="27" customHeight="1" x14ac:dyDescent="0.3">
      <c r="A113" s="300" t="s">
        <v>217</v>
      </c>
      <c r="B113" s="300"/>
      <c r="C113" s="300"/>
      <c r="D113" s="300"/>
      <c r="E113" s="58"/>
      <c r="F113" s="14"/>
    </row>
    <row r="114" spans="1:6" s="9" customFormat="1" ht="24.75" customHeight="1" x14ac:dyDescent="0.3">
      <c r="A114" s="59" t="s">
        <v>58</v>
      </c>
      <c r="B114" s="60"/>
      <c r="C114" s="61"/>
      <c r="D114" s="62"/>
      <c r="E114" s="26"/>
    </row>
    <row r="115" spans="1:6" s="10" customFormat="1" ht="18" customHeight="1" x14ac:dyDescent="0.3">
      <c r="A115" s="63" t="s">
        <v>56</v>
      </c>
      <c r="B115" s="64">
        <f>B18-B15</f>
        <v>-23333.333333333328</v>
      </c>
      <c r="C115" s="54" t="s">
        <v>0</v>
      </c>
      <c r="D115" s="54"/>
      <c r="E115" s="57"/>
      <c r="F115" s="22"/>
    </row>
    <row r="116" spans="1:6" s="10" customFormat="1" ht="18" customHeight="1" x14ac:dyDescent="0.3">
      <c r="A116" s="63" t="s">
        <v>9</v>
      </c>
      <c r="B116" s="65">
        <v>5.2999999999999999E-2</v>
      </c>
      <c r="C116" s="54"/>
      <c r="D116" s="54"/>
      <c r="E116" s="57"/>
      <c r="F116" s="22"/>
    </row>
    <row r="117" spans="1:6" s="10" customFormat="1" ht="18" customHeight="1" x14ac:dyDescent="0.3">
      <c r="A117" s="63" t="s">
        <v>10</v>
      </c>
      <c r="B117" s="64">
        <f>IF(OR(B15&gt;21509,B65=1),B15*B64,0)</f>
        <v>4900.0000000000009</v>
      </c>
      <c r="C117" s="54" t="s">
        <v>0</v>
      </c>
      <c r="D117" s="54"/>
      <c r="E117" s="57"/>
      <c r="F117" s="22"/>
    </row>
    <row r="118" spans="1:6" s="10" customFormat="1" ht="18" customHeight="1" x14ac:dyDescent="0.3">
      <c r="A118" s="63" t="s">
        <v>57</v>
      </c>
      <c r="B118" s="64">
        <f>B66</f>
        <v>3266.6666666666674</v>
      </c>
      <c r="C118" s="54" t="s">
        <v>0</v>
      </c>
      <c r="D118" s="54"/>
      <c r="E118" s="57"/>
      <c r="F118" s="22"/>
    </row>
    <row r="119" spans="1:6" s="10" customFormat="1" ht="18" customHeight="1" x14ac:dyDescent="0.3">
      <c r="A119" s="63" t="s">
        <v>125</v>
      </c>
      <c r="B119" s="65">
        <v>0.02</v>
      </c>
      <c r="C119" s="54"/>
      <c r="D119" s="161" t="s">
        <v>126</v>
      </c>
      <c r="E119" s="66"/>
      <c r="F119" s="24"/>
    </row>
    <row r="120" spans="1:6" s="10" customFormat="1" ht="18" customHeight="1" x14ac:dyDescent="0.3">
      <c r="A120" s="63" t="s">
        <v>121</v>
      </c>
      <c r="B120" s="64">
        <f>B115*(1-B116-B119)-(B118-B117)</f>
        <v>-19996.666666666661</v>
      </c>
      <c r="C120" s="54" t="s">
        <v>0</v>
      </c>
      <c r="D120" s="54"/>
      <c r="E120" s="57"/>
      <c r="F120" s="148"/>
    </row>
    <row r="121" spans="1:6" s="9" customFormat="1" ht="24.75" customHeight="1" x14ac:dyDescent="0.3">
      <c r="A121" s="59" t="s">
        <v>218</v>
      </c>
      <c r="B121" s="60"/>
      <c r="C121" s="61"/>
      <c r="D121" s="62"/>
      <c r="E121" s="26"/>
      <c r="F121" s="149"/>
    </row>
    <row r="122" spans="1:6" s="10" customFormat="1" ht="18" customHeight="1" x14ac:dyDescent="0.3">
      <c r="A122" s="63" t="s">
        <v>60</v>
      </c>
      <c r="B122" s="64">
        <f>B25</f>
        <v>13196.4</v>
      </c>
      <c r="C122" s="54" t="s">
        <v>0</v>
      </c>
      <c r="D122" s="54"/>
      <c r="E122" s="57"/>
      <c r="F122" s="148"/>
    </row>
    <row r="123" spans="1:6" s="10" customFormat="1" ht="18" customHeight="1" x14ac:dyDescent="0.3">
      <c r="A123" s="63" t="s">
        <v>9</v>
      </c>
      <c r="B123" s="65">
        <v>5.2999999999999999E-2</v>
      </c>
      <c r="C123" s="54"/>
      <c r="D123" s="54"/>
      <c r="E123" s="57"/>
      <c r="F123" s="22"/>
    </row>
    <row r="124" spans="1:6" s="10" customFormat="1" ht="18" customHeight="1" x14ac:dyDescent="0.3">
      <c r="A124" s="63" t="s">
        <v>11</v>
      </c>
      <c r="B124" s="64">
        <f>B71</f>
        <v>923.74800000000005</v>
      </c>
      <c r="C124" s="54" t="s">
        <v>0</v>
      </c>
      <c r="D124" s="54"/>
      <c r="E124" s="57"/>
      <c r="F124" s="22"/>
    </row>
    <row r="125" spans="1:6" s="10" customFormat="1" ht="18" customHeight="1" x14ac:dyDescent="0.3">
      <c r="A125" s="63" t="s">
        <v>125</v>
      </c>
      <c r="B125" s="65">
        <v>0.02</v>
      </c>
      <c r="C125" s="54"/>
      <c r="D125" s="161" t="s">
        <v>126</v>
      </c>
      <c r="E125" s="66"/>
      <c r="F125" s="24"/>
    </row>
    <row r="126" spans="1:6" s="10" customFormat="1" ht="18" customHeight="1" x14ac:dyDescent="0.3">
      <c r="A126" s="63" t="s">
        <v>59</v>
      </c>
      <c r="B126" s="64">
        <f>B122*(1-B123-B125)-B124</f>
        <v>11309.3148</v>
      </c>
      <c r="C126" s="54" t="s">
        <v>0</v>
      </c>
      <c r="D126" s="54"/>
      <c r="E126" s="57"/>
      <c r="F126" s="22"/>
    </row>
    <row r="127" spans="1:6" s="10" customFormat="1" ht="18" customHeight="1" x14ac:dyDescent="0.3">
      <c r="A127" s="63" t="s">
        <v>120</v>
      </c>
      <c r="B127" s="64">
        <f>MIN(B126*0.2,2400)</f>
        <v>2261.8629599999999</v>
      </c>
      <c r="C127" s="54" t="s">
        <v>0</v>
      </c>
      <c r="D127" s="258" t="s">
        <v>61</v>
      </c>
      <c r="E127" s="57"/>
      <c r="F127" s="22"/>
    </row>
    <row r="128" spans="1:6" s="10" customFormat="1" ht="15" customHeight="1" x14ac:dyDescent="0.3">
      <c r="A128" s="129"/>
      <c r="B128" s="64"/>
      <c r="C128" s="54"/>
      <c r="D128" s="258"/>
      <c r="E128" s="57"/>
      <c r="F128" s="22"/>
    </row>
    <row r="129" spans="1:6" s="10" customFormat="1" ht="15" customHeight="1" x14ac:dyDescent="0.3">
      <c r="A129" s="129"/>
      <c r="B129" s="64"/>
      <c r="C129" s="54"/>
      <c r="D129" s="258"/>
      <c r="E129" s="57"/>
      <c r="F129" s="22"/>
    </row>
    <row r="130" spans="1:6" s="10" customFormat="1" ht="26.25" customHeight="1" x14ac:dyDescent="0.3">
      <c r="A130" s="132" t="s">
        <v>109</v>
      </c>
      <c r="B130" s="64"/>
      <c r="C130" s="105"/>
      <c r="D130" s="106"/>
      <c r="E130" s="32"/>
    </row>
    <row r="131" spans="1:6" s="10" customFormat="1" ht="18" customHeight="1" x14ac:dyDescent="0.3">
      <c r="A131" s="67" t="s">
        <v>103</v>
      </c>
      <c r="B131" s="130">
        <f>B108+B139</f>
        <v>44050.785173333337</v>
      </c>
      <c r="C131" s="131" t="s">
        <v>0</v>
      </c>
      <c r="D131" s="69"/>
      <c r="E131" s="57"/>
      <c r="F131" s="22"/>
    </row>
    <row r="132" spans="1:6" s="10" customFormat="1" ht="18" customHeight="1" x14ac:dyDescent="0.3">
      <c r="A132" s="67" t="s">
        <v>104</v>
      </c>
      <c r="B132" s="130">
        <f>B109+B139</f>
        <v>45050.785173333337</v>
      </c>
      <c r="C132" s="131" t="s">
        <v>0</v>
      </c>
      <c r="D132" s="69"/>
      <c r="E132" s="57"/>
      <c r="F132" s="22"/>
    </row>
    <row r="133" spans="1:6" s="21" customFormat="1" ht="40.5" customHeight="1" x14ac:dyDescent="0.25">
      <c r="A133" s="301" t="s">
        <v>105</v>
      </c>
      <c r="B133" s="301"/>
      <c r="C133" s="301"/>
      <c r="D133" s="301"/>
      <c r="E133" s="68"/>
      <c r="F133" s="20"/>
    </row>
    <row r="134" spans="1:6" s="9" customFormat="1" ht="24" customHeight="1" x14ac:dyDescent="0.3">
      <c r="A134" s="269" t="s">
        <v>70</v>
      </c>
      <c r="B134" s="270"/>
      <c r="C134" s="270"/>
      <c r="D134" s="270"/>
      <c r="E134" s="27"/>
      <c r="F134" s="13"/>
    </row>
    <row r="135" spans="1:6" s="10" customFormat="1" ht="18" customHeight="1" x14ac:dyDescent="0.3">
      <c r="A135" s="56" t="s">
        <v>62</v>
      </c>
      <c r="B135" s="250">
        <v>5126</v>
      </c>
      <c r="C135" s="54" t="s">
        <v>0</v>
      </c>
      <c r="D135" s="55" t="str">
        <f>IF(B135="","Fehler: Bitte Wert eingeben.","")</f>
        <v/>
      </c>
      <c r="E135" s="57"/>
      <c r="F135" s="22"/>
    </row>
    <row r="136" spans="1:6" s="10" customFormat="1" ht="18" customHeight="1" x14ac:dyDescent="0.3">
      <c r="A136" s="56" t="s">
        <v>63</v>
      </c>
      <c r="B136" s="250">
        <v>376</v>
      </c>
      <c r="C136" s="54" t="s">
        <v>0</v>
      </c>
      <c r="D136" s="55" t="str">
        <f>IF(B136="","Fehler: Bitte Wert eingeben.","")</f>
        <v/>
      </c>
      <c r="E136" s="34"/>
      <c r="F136" s="22"/>
    </row>
    <row r="137" spans="1:6" s="10" customFormat="1" ht="15" customHeight="1" x14ac:dyDescent="0.3">
      <c r="A137" s="297"/>
      <c r="B137" s="297"/>
      <c r="C137" s="297"/>
      <c r="D137" s="297"/>
      <c r="E137" s="34"/>
      <c r="F137" s="22"/>
    </row>
    <row r="138" spans="1:6" s="9" customFormat="1" x14ac:dyDescent="0.3">
      <c r="A138" s="304"/>
      <c r="B138" s="305"/>
      <c r="C138" s="305"/>
      <c r="D138" s="306"/>
      <c r="E138" s="35"/>
      <c r="F138" s="4"/>
    </row>
    <row r="139" spans="1:6" s="10" customFormat="1" ht="35.25" customHeight="1" x14ac:dyDescent="0.3">
      <c r="A139" s="36" t="s">
        <v>88</v>
      </c>
      <c r="B139" s="37">
        <f>B120+B126-B127</f>
        <v>-10949.214826666661</v>
      </c>
      <c r="C139" s="38" t="s">
        <v>0</v>
      </c>
      <c r="D139" s="38"/>
      <c r="E139" s="39"/>
      <c r="F139" s="22"/>
    </row>
    <row r="140" spans="1:6" s="9" customFormat="1" x14ac:dyDescent="0.3">
      <c r="A140" s="302"/>
      <c r="B140" s="302"/>
      <c r="C140" s="302"/>
      <c r="D140" s="303"/>
      <c r="E140" s="35"/>
      <c r="F140" s="4"/>
    </row>
    <row r="141" spans="1:6" s="4" customFormat="1" ht="11.25" customHeight="1" x14ac:dyDescent="0.3">
      <c r="A141" s="298"/>
      <c r="B141" s="298"/>
      <c r="C141" s="298"/>
      <c r="D141" s="298"/>
      <c r="E141" s="42"/>
      <c r="F141" s="13"/>
    </row>
    <row r="142" spans="1:6" s="9" customFormat="1" ht="31.5" customHeight="1" x14ac:dyDescent="0.3">
      <c r="A142" s="43" t="s">
        <v>89</v>
      </c>
      <c r="B142" s="44"/>
      <c r="C142" s="44"/>
      <c r="D142" s="44"/>
      <c r="E142" s="45"/>
    </row>
    <row r="143" spans="1:6" s="9" customFormat="1" ht="30" customHeight="1" x14ac:dyDescent="0.3">
      <c r="A143" s="46" t="s">
        <v>90</v>
      </c>
      <c r="B143" s="47" t="s">
        <v>71</v>
      </c>
      <c r="C143" s="48" t="s">
        <v>83</v>
      </c>
      <c r="D143" s="49" t="s">
        <v>84</v>
      </c>
      <c r="E143" s="26"/>
      <c r="F143" s="13"/>
    </row>
    <row r="144" spans="1:6" s="10" customFormat="1" ht="18" customHeight="1" x14ac:dyDescent="0.3">
      <c r="A144" s="50" t="s">
        <v>65</v>
      </c>
      <c r="B144" s="139">
        <f>D144-C144</f>
        <v>-10136.933333333327</v>
      </c>
      <c r="C144" s="133">
        <f>B15</f>
        <v>70000</v>
      </c>
      <c r="D144" s="133">
        <f>B32</f>
        <v>59863.066666666673</v>
      </c>
      <c r="E144" s="32"/>
      <c r="F144" s="22"/>
    </row>
    <row r="145" spans="1:6" s="10" customFormat="1" ht="18" customHeight="1" x14ac:dyDescent="0.3">
      <c r="A145" s="53" t="s">
        <v>73</v>
      </c>
      <c r="B145" s="138"/>
      <c r="C145" s="51"/>
      <c r="D145" s="52"/>
      <c r="E145" s="32"/>
      <c r="F145" s="22"/>
    </row>
    <row r="146" spans="1:6" s="10" customFormat="1" ht="18" customHeight="1" x14ac:dyDescent="0.3">
      <c r="A146" s="135" t="s">
        <v>75</v>
      </c>
      <c r="B146" s="138">
        <f t="shared" ref="B146:B151" si="0">D146-C146</f>
        <v>-537.25746666666646</v>
      </c>
      <c r="C146" s="134">
        <f>B42</f>
        <v>3710</v>
      </c>
      <c r="D146" s="134">
        <f>B46</f>
        <v>3172.7425333333335</v>
      </c>
      <c r="E146" s="32"/>
      <c r="F146" s="22"/>
    </row>
    <row r="147" spans="1:6" s="10" customFormat="1" ht="18" customHeight="1" x14ac:dyDescent="0.3">
      <c r="A147" s="136" t="s">
        <v>76</v>
      </c>
      <c r="B147" s="138">
        <f t="shared" si="0"/>
        <v>-200</v>
      </c>
      <c r="C147" s="134">
        <f>B44</f>
        <v>2000</v>
      </c>
      <c r="D147" s="134">
        <f>B48</f>
        <v>1800</v>
      </c>
      <c r="E147" s="32"/>
      <c r="F147" s="22"/>
    </row>
    <row r="148" spans="1:6" s="10" customFormat="1" ht="18" customHeight="1" x14ac:dyDescent="0.3">
      <c r="A148" s="136" t="s">
        <v>77</v>
      </c>
      <c r="B148" s="138">
        <f t="shared" si="0"/>
        <v>-709.58533333333344</v>
      </c>
      <c r="C148" s="134">
        <f>B59</f>
        <v>4900.0000000000009</v>
      </c>
      <c r="D148" s="134">
        <f>B66+B71</f>
        <v>4190.4146666666675</v>
      </c>
      <c r="E148" s="32"/>
      <c r="F148" s="22"/>
    </row>
    <row r="149" spans="1:6" s="10" customFormat="1" ht="18" customHeight="1" x14ac:dyDescent="0.3">
      <c r="A149" s="136" t="s">
        <v>78</v>
      </c>
      <c r="B149" s="138">
        <f t="shared" si="0"/>
        <v>-148778.65604421648</v>
      </c>
      <c r="C149" s="134">
        <f>B60</f>
        <v>600000</v>
      </c>
      <c r="D149" s="134">
        <f>B75</f>
        <v>451221.34395578352</v>
      </c>
      <c r="E149" s="32"/>
      <c r="F149" s="22"/>
    </row>
    <row r="150" spans="1:6" s="10" customFormat="1" ht="18" customHeight="1" x14ac:dyDescent="0.3">
      <c r="A150" s="136" t="s">
        <v>128</v>
      </c>
      <c r="B150" s="138">
        <f t="shared" si="0"/>
        <v>-1000</v>
      </c>
      <c r="C150" s="134">
        <f>B83</f>
        <v>6000</v>
      </c>
      <c r="D150" s="134">
        <f>B87</f>
        <v>5000</v>
      </c>
      <c r="E150" s="32"/>
      <c r="F150" s="22"/>
    </row>
    <row r="151" spans="1:6" s="10" customFormat="1" ht="18" customHeight="1" x14ac:dyDescent="0.3">
      <c r="A151" s="136" t="s">
        <v>85</v>
      </c>
      <c r="B151" s="138">
        <f t="shared" si="0"/>
        <v>-40660.275603126851</v>
      </c>
      <c r="C151" s="134">
        <f>B84</f>
        <v>339336.88867829199</v>
      </c>
      <c r="D151" s="134">
        <f>B88</f>
        <v>298676.61307516514</v>
      </c>
      <c r="E151" s="32"/>
      <c r="F151" s="22"/>
    </row>
    <row r="152" spans="1:6" s="10" customFormat="1" ht="18" customHeight="1" x14ac:dyDescent="0.3">
      <c r="A152" s="53" t="s">
        <v>111</v>
      </c>
      <c r="B152" s="138"/>
      <c r="C152" s="134"/>
      <c r="D152" s="134"/>
      <c r="E152" s="32"/>
      <c r="F152" s="22"/>
    </row>
    <row r="153" spans="1:6" s="10" customFormat="1" ht="18" customHeight="1" x14ac:dyDescent="0.3">
      <c r="A153" s="136" t="s">
        <v>67</v>
      </c>
      <c r="B153" s="138">
        <f>D153-C153</f>
        <v>-10949.214826666663</v>
      </c>
      <c r="C153" s="134">
        <f>B108</f>
        <v>55000</v>
      </c>
      <c r="D153" s="134">
        <f>B131</f>
        <v>44050.785173333337</v>
      </c>
      <c r="E153" s="32"/>
      <c r="F153" s="22"/>
    </row>
    <row r="154" spans="1:6" s="10" customFormat="1" ht="18" customHeight="1" x14ac:dyDescent="0.3">
      <c r="A154" s="136" t="s">
        <v>68</v>
      </c>
      <c r="B154" s="138">
        <f>D154-C154</f>
        <v>-10949.214826666663</v>
      </c>
      <c r="C154" s="134">
        <f>B109</f>
        <v>56000</v>
      </c>
      <c r="D154" s="134">
        <f>B132</f>
        <v>45050.785173333337</v>
      </c>
      <c r="E154" s="32"/>
      <c r="F154" s="22"/>
    </row>
    <row r="155" spans="1:6" s="10" customFormat="1" ht="18" customHeight="1" x14ac:dyDescent="0.3">
      <c r="A155" s="136" t="s">
        <v>79</v>
      </c>
      <c r="B155" s="138">
        <f>D155-C155</f>
        <v>-374</v>
      </c>
      <c r="C155" s="134">
        <f>B111</f>
        <v>5500</v>
      </c>
      <c r="D155" s="134">
        <f>B135</f>
        <v>5126</v>
      </c>
      <c r="E155" s="32"/>
      <c r="F155" s="22"/>
    </row>
    <row r="156" spans="1:6" s="10" customFormat="1" ht="18" customHeight="1" x14ac:dyDescent="0.3">
      <c r="A156" s="137" t="s">
        <v>80</v>
      </c>
      <c r="B156" s="138">
        <f>D156-C156</f>
        <v>-24</v>
      </c>
      <c r="C156" s="134">
        <f>B112</f>
        <v>400</v>
      </c>
      <c r="D156" s="134">
        <f>B136</f>
        <v>376</v>
      </c>
      <c r="E156" s="32"/>
      <c r="F156" s="22"/>
    </row>
    <row r="157" spans="1:6" s="10" customFormat="1" ht="18" customHeight="1" x14ac:dyDescent="0.3">
      <c r="A157" s="33" t="s">
        <v>69</v>
      </c>
      <c r="B157" s="140">
        <f>D157-C157</f>
        <v>0</v>
      </c>
      <c r="C157" s="254"/>
      <c r="D157" s="255"/>
      <c r="E157" s="32"/>
      <c r="F157" s="22"/>
    </row>
    <row r="158" spans="1:6" s="9" customFormat="1" ht="18" customHeight="1" x14ac:dyDescent="0.3">
      <c r="A158" s="294"/>
      <c r="B158" s="294"/>
      <c r="C158" s="294"/>
      <c r="D158" s="294"/>
      <c r="E158" s="26"/>
      <c r="F158" s="13"/>
    </row>
    <row r="159" spans="1:6" s="9" customFormat="1" ht="18" customHeight="1" x14ac:dyDescent="0.3">
      <c r="A159" s="299" t="s">
        <v>119</v>
      </c>
      <c r="B159" s="299"/>
      <c r="C159" s="299"/>
      <c r="D159" s="299"/>
      <c r="E159" s="27"/>
      <c r="F159" s="13"/>
    </row>
    <row r="160" spans="1:6" s="9" customFormat="1" ht="18" customHeight="1" x14ac:dyDescent="0.3">
      <c r="A160" s="299" t="s">
        <v>118</v>
      </c>
      <c r="B160" s="299"/>
      <c r="C160" s="299"/>
      <c r="D160" s="299"/>
      <c r="E160" s="27"/>
      <c r="F160" s="13"/>
    </row>
    <row r="161" spans="1:6" s="9" customFormat="1" ht="18" customHeight="1" x14ac:dyDescent="0.3">
      <c r="A161" s="295"/>
      <c r="B161" s="295"/>
      <c r="C161" s="295"/>
      <c r="D161" s="295"/>
      <c r="E161" s="28"/>
      <c r="F161" s="13"/>
    </row>
    <row r="162" spans="1:6" x14ac:dyDescent="0.25">
      <c r="A162" s="29"/>
      <c r="B162" s="30"/>
      <c r="C162" s="30"/>
      <c r="D162" s="30"/>
      <c r="E162" s="31"/>
    </row>
  </sheetData>
  <sheetProtection algorithmName="SHA-512" hashValue="LcgPj/pgczj6gYgLkDOqxhcVwO8sNVvzinP5qb7Jc0AeyRQtOyP3398swb8NYYMkpXjLYhsBdNUgCnGHZSX2vg==" saltValue="1teYXJRcABXahhb7fax2Yg==" spinCount="100000" sheet="1" selectLockedCells="1"/>
  <mergeCells count="72">
    <mergeCell ref="A158:D158"/>
    <mergeCell ref="A161:D161"/>
    <mergeCell ref="A92:D92"/>
    <mergeCell ref="A137:D137"/>
    <mergeCell ref="A141:D141"/>
    <mergeCell ref="A160:D160"/>
    <mergeCell ref="A106:D106"/>
    <mergeCell ref="A113:D113"/>
    <mergeCell ref="A159:D159"/>
    <mergeCell ref="A101:D101"/>
    <mergeCell ref="A95:D95"/>
    <mergeCell ref="A94:D94"/>
    <mergeCell ref="A105:D105"/>
    <mergeCell ref="A133:D133"/>
    <mergeCell ref="A140:D140"/>
    <mergeCell ref="A138:D138"/>
    <mergeCell ref="A91:D91"/>
    <mergeCell ref="D84:D85"/>
    <mergeCell ref="D88:D89"/>
    <mergeCell ref="D75:D76"/>
    <mergeCell ref="A77:D77"/>
    <mergeCell ref="A82:D82"/>
    <mergeCell ref="A86:D86"/>
    <mergeCell ref="A31:D31"/>
    <mergeCell ref="F70:J70"/>
    <mergeCell ref="A78:D78"/>
    <mergeCell ref="A79:D79"/>
    <mergeCell ref="A90:D90"/>
    <mergeCell ref="A40:D40"/>
    <mergeCell ref="A39:D39"/>
    <mergeCell ref="A41:D41"/>
    <mergeCell ref="A58:D58"/>
    <mergeCell ref="A53:D53"/>
    <mergeCell ref="A50:D50"/>
    <mergeCell ref="A45:D45"/>
    <mergeCell ref="A61:D61"/>
    <mergeCell ref="A1:D1"/>
    <mergeCell ref="A2:D2"/>
    <mergeCell ref="A5:D5"/>
    <mergeCell ref="A3:D3"/>
    <mergeCell ref="A4:D4"/>
    <mergeCell ref="A6:D6"/>
    <mergeCell ref="A11:D11"/>
    <mergeCell ref="A12:D12"/>
    <mergeCell ref="A20:D20"/>
    <mergeCell ref="A26:D26"/>
    <mergeCell ref="A7:D7"/>
    <mergeCell ref="A13:D13"/>
    <mergeCell ref="A21:D21"/>
    <mergeCell ref="A134:D134"/>
    <mergeCell ref="A96:D96"/>
    <mergeCell ref="A97:D97"/>
    <mergeCell ref="A98:D98"/>
    <mergeCell ref="A99:D99"/>
    <mergeCell ref="A100:D100"/>
    <mergeCell ref="A102:D102"/>
    <mergeCell ref="A27:D27"/>
    <mergeCell ref="A29:D29"/>
    <mergeCell ref="D127:D129"/>
    <mergeCell ref="A28:D28"/>
    <mergeCell ref="A57:D57"/>
    <mergeCell ref="A54:D54"/>
    <mergeCell ref="A55:D55"/>
    <mergeCell ref="A56:D56"/>
    <mergeCell ref="A30:D30"/>
    <mergeCell ref="A34:D34"/>
    <mergeCell ref="A49:D49"/>
    <mergeCell ref="A51:D51"/>
    <mergeCell ref="A37:D37"/>
    <mergeCell ref="A38:D38"/>
    <mergeCell ref="A33:D33"/>
    <mergeCell ref="A36:D36"/>
  </mergeCells>
  <hyperlinks>
    <hyperlink ref="A28" r:id="rId1" display="https://www.spitextg.ch/files/HCNN011/2020_empfehlungen_besoldung_mitarbeitende_spitex.pdf" xr:uid="{F204B5A1-DD66-4F66-B094-9B41780E1B90}"/>
    <hyperlink ref="A37" r:id="rId2" display="https://www.ahv-iv.ch/p/3.01.d" xr:uid="{DFEC68F6-DFDA-48E1-9F04-E70C43D61416}"/>
    <hyperlink ref="A39" r:id="rId3" display="https://www.ahv-iv.ch/de/Merkbl%C3%A4tter-Formulare/Online-Rentensch%C3%A4tzung-ESCAL" xr:uid="{9DAA7FD8-1EFF-49EE-AFBF-E790A9D8A8DE}"/>
    <hyperlink ref="A56" r:id="rId4" display="https://www.ahv-iv.ch/de/Sozialversicherungen/Weitere-Sozialversicherungen/Berufliche-Vorsorge-BV" xr:uid="{84DEB9EC-3D83-4616-9D0A-18436C31A9A1}"/>
    <hyperlink ref="A54" r:id="rId5" display="https://web.aeis.ch/DE/static_pages/41/Unser%20Auftrag" xr:uid="{868DA716-15CA-4B4A-B3A2-10E2B2D3AA2B}"/>
    <hyperlink ref="A95" r:id="rId6" display="https://www.kmu.admin.ch/kmu/de/home/praktisches-wissen/personal/personalmanagement/pflichten-der-arbeitgebenden/sozialversicherungen/krankentaggeld-versicherung.html" xr:uid="{51642DF8-DB5D-4497-A157-1D2CAE9967F2}"/>
    <hyperlink ref="A97" r:id="rId7" display="https://www.ch.ch/de/arbeitsunfahigkeit-infolge-krankheit-schwangerschaft-rechte/" xr:uid="{F161749F-8E3D-457C-9A10-A3D2162B706D}"/>
    <hyperlink ref="A99" r:id="rId8" location="c68572" display="https://www.koordination.ch/de/online-handbuch/krankentaggeld/lohnfortzahlungspflicht/#c68572" xr:uid="{FD06A732-A7C3-402B-B005-9DB9D8A73D61}"/>
    <hyperlink ref="A101" r:id="rId9" display="https://www.bag.admin.ch/bag/de/home/versicherungen/unfallversicherung.html" xr:uid="{3E3641DC-DEAB-44DD-84C9-C6A2F80AAAA7}"/>
    <hyperlink ref="A134" r:id="rId10" display="https://www.ch.ch/de/steuerrechner/" xr:uid="{CD12BA56-6966-4D2D-A2F8-8D63A25AECD4}"/>
  </hyperlinks>
  <pageMargins left="0.7" right="0.7" top="0.78740157499999996" bottom="0.78740157499999996" header="0.3" footer="0.3"/>
  <pageSetup paperSize="9" orientation="portrait" r:id="rId11"/>
  <ignoredErrors>
    <ignoredError sqref="D6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5B046-3046-44DE-80D7-3944A41DBA90}">
  <dimension ref="A1:R115"/>
  <sheetViews>
    <sheetView zoomScale="55" zoomScaleNormal="55" workbookViewId="0">
      <selection activeCell="A27" sqref="A27:D27"/>
    </sheetView>
  </sheetViews>
  <sheetFormatPr baseColWidth="10" defaultColWidth="11.44140625" defaultRowHeight="15" x14ac:dyDescent="0.25"/>
  <cols>
    <col min="1" max="1" width="87.5546875" style="25" customWidth="1"/>
    <col min="2" max="2" width="16.5546875" style="25" customWidth="1"/>
    <col min="3" max="4" width="37.5546875" style="25" customWidth="1"/>
    <col min="5" max="5" width="4.21875" style="25" customWidth="1"/>
    <col min="6" max="6" width="16.77734375" style="25" customWidth="1"/>
    <col min="7" max="7" width="18.77734375" style="25" customWidth="1"/>
    <col min="8" max="8" width="15.21875" style="25" customWidth="1"/>
    <col min="9" max="9" width="19.77734375" style="25" customWidth="1"/>
    <col min="10" max="10" width="16.5546875" style="25" customWidth="1"/>
    <col min="11" max="12" width="11.44140625" style="25"/>
    <col min="13" max="13" width="17.77734375" style="25" customWidth="1"/>
    <col min="14" max="14" width="18.77734375" style="25" customWidth="1"/>
    <col min="15" max="16" width="11.44140625" style="25"/>
    <col min="17" max="17" width="6.5546875" style="25" customWidth="1"/>
    <col min="18" max="18" width="39.44140625" style="25" customWidth="1"/>
    <col min="19" max="16384" width="11.44140625" style="25"/>
  </cols>
  <sheetData>
    <row r="1" spans="1:18" s="2" customFormat="1" ht="17.399999999999999" x14ac:dyDescent="0.3">
      <c r="A1" s="278" t="s">
        <v>13</v>
      </c>
      <c r="B1" s="278"/>
      <c r="C1" s="278"/>
      <c r="D1" s="278"/>
      <c r="E1" s="115"/>
      <c r="F1" s="1"/>
    </row>
    <row r="2" spans="1:18" s="2" customFormat="1" ht="41.25" customHeight="1" x14ac:dyDescent="0.3">
      <c r="A2" s="279" t="s">
        <v>215</v>
      </c>
      <c r="B2" s="279"/>
      <c r="C2" s="279"/>
      <c r="D2" s="279"/>
      <c r="E2" s="116"/>
      <c r="F2" s="3"/>
    </row>
    <row r="3" spans="1:18" s="5" customFormat="1" x14ac:dyDescent="0.3">
      <c r="A3" s="283"/>
      <c r="B3" s="283"/>
      <c r="C3" s="283"/>
      <c r="D3" s="283"/>
      <c r="E3" s="35"/>
      <c r="F3" s="4"/>
    </row>
    <row r="4" spans="1:18" s="5" customFormat="1" ht="275.25" customHeight="1" x14ac:dyDescent="0.3">
      <c r="A4" s="284" t="s">
        <v>200</v>
      </c>
      <c r="B4" s="284"/>
      <c r="C4" s="284"/>
      <c r="D4" s="284"/>
      <c r="E4" s="42"/>
      <c r="F4" s="6"/>
      <c r="G4" s="7"/>
      <c r="H4" s="7"/>
      <c r="I4" s="7"/>
      <c r="J4" s="7"/>
      <c r="K4" s="7"/>
      <c r="L4" s="7"/>
      <c r="M4" s="7"/>
      <c r="N4" s="7"/>
      <c r="O4" s="7"/>
      <c r="P4" s="7"/>
      <c r="Q4" s="7"/>
      <c r="R4" s="7"/>
    </row>
    <row r="5" spans="1:18" s="2" customFormat="1" ht="18" customHeight="1" x14ac:dyDescent="0.3">
      <c r="A5" s="280" t="s">
        <v>186</v>
      </c>
      <c r="B5" s="281"/>
      <c r="C5" s="281"/>
      <c r="D5" s="282"/>
      <c r="E5" s="117"/>
      <c r="F5" s="8"/>
    </row>
    <row r="6" spans="1:18" s="9" customFormat="1" x14ac:dyDescent="0.3">
      <c r="A6" s="274"/>
      <c r="B6" s="274"/>
      <c r="C6" s="274"/>
      <c r="D6" s="274"/>
      <c r="E6" s="35"/>
      <c r="F6" s="4"/>
    </row>
    <row r="7" spans="1:18" s="9" customFormat="1" ht="11.25" customHeight="1" x14ac:dyDescent="0.3">
      <c r="A7" s="277"/>
      <c r="B7" s="277"/>
      <c r="C7" s="277"/>
      <c r="D7" s="277"/>
      <c r="E7" s="26"/>
    </row>
    <row r="8" spans="1:18" s="10" customFormat="1" ht="22.5" customHeight="1" x14ac:dyDescent="0.3">
      <c r="A8" s="118" t="s">
        <v>14</v>
      </c>
      <c r="B8" s="119"/>
      <c r="C8" s="119"/>
      <c r="D8" s="119"/>
      <c r="E8" s="32"/>
    </row>
    <row r="9" spans="1:18" s="10" customFormat="1" ht="18" customHeight="1" x14ac:dyDescent="0.3">
      <c r="A9" s="114" t="s">
        <v>15</v>
      </c>
      <c r="B9" s="11">
        <v>29</v>
      </c>
      <c r="C9" s="112" t="s">
        <v>16</v>
      </c>
      <c r="D9" s="113" t="str">
        <f>IF(B9&lt;25,"Fehler: Alter liegt unter 25 Jahren.",IF(AND(B10=1,B9&gt;64),"Fehler: Alter liegt über Pensionsalter oder ist fehlerhaft (keine Zahl).",IF(AND(B10=2,B9&gt;63),"Fehler: Alter liegt über dem Pensionsalter oder ist fehlerhaft (keine Zahl).","")))</f>
        <v/>
      </c>
      <c r="E9" s="32"/>
    </row>
    <row r="10" spans="1:18" s="10" customFormat="1" ht="45" customHeight="1" x14ac:dyDescent="0.3">
      <c r="A10" s="114" t="s">
        <v>17</v>
      </c>
      <c r="B10" s="12">
        <v>2</v>
      </c>
      <c r="C10" s="112" t="s">
        <v>18</v>
      </c>
      <c r="D10" s="113" t="str">
        <f>IF(AND(B10&lt;&gt;1,B10&lt;&gt;2),"Fehler: Geschlecht muss gleich 1 (männlich) oder gleich 2 (weiblich) sein (ist relevant für Pensionsalter).","")</f>
        <v/>
      </c>
      <c r="E10" s="32"/>
    </row>
    <row r="11" spans="1:18" s="9" customFormat="1" x14ac:dyDescent="0.3">
      <c r="A11" s="275"/>
      <c r="B11" s="275"/>
      <c r="C11" s="275"/>
      <c r="D11" s="275"/>
      <c r="E11" s="26"/>
    </row>
    <row r="12" spans="1:18" s="9" customFormat="1" x14ac:dyDescent="0.3">
      <c r="A12" s="268"/>
      <c r="B12" s="268"/>
      <c r="C12" s="268"/>
      <c r="D12" s="268"/>
      <c r="E12" s="35"/>
      <c r="F12" s="4"/>
    </row>
    <row r="13" spans="1:18" s="9" customFormat="1" ht="11.25" customHeight="1" x14ac:dyDescent="0.3">
      <c r="A13" s="263"/>
      <c r="B13" s="263"/>
      <c r="C13" s="263"/>
      <c r="D13" s="263"/>
      <c r="E13" s="27"/>
      <c r="F13" s="13"/>
    </row>
    <row r="14" spans="1:18" s="9" customFormat="1" ht="22.5" customHeight="1" x14ac:dyDescent="0.3">
      <c r="A14" s="77" t="s">
        <v>91</v>
      </c>
      <c r="B14" s="62"/>
      <c r="C14" s="62"/>
      <c r="D14" s="62"/>
      <c r="E14" s="26"/>
    </row>
    <row r="15" spans="1:18" s="10" customFormat="1" ht="36" customHeight="1" x14ac:dyDescent="0.3">
      <c r="A15" s="67" t="s">
        <v>110</v>
      </c>
      <c r="B15" s="11">
        <v>43988</v>
      </c>
      <c r="C15" s="105" t="s">
        <v>0</v>
      </c>
      <c r="D15" s="111" t="str">
        <f>IF(B15="","Fehler: Bitte Wert eingeben.","")</f>
        <v/>
      </c>
      <c r="E15" s="32"/>
    </row>
    <row r="16" spans="1:18" s="10" customFormat="1" ht="18" customHeight="1" x14ac:dyDescent="0.3">
      <c r="A16" s="67" t="s">
        <v>24</v>
      </c>
      <c r="B16" s="11">
        <v>20</v>
      </c>
      <c r="C16" s="105" t="s">
        <v>22</v>
      </c>
      <c r="D16" s="111" t="str">
        <f>IF(B16="","Fehler: Bitte Wert eingeben.","")</f>
        <v/>
      </c>
      <c r="E16" s="32"/>
    </row>
    <row r="17" spans="1:6" s="10" customFormat="1" ht="18" customHeight="1" x14ac:dyDescent="0.3">
      <c r="A17" s="143" t="s">
        <v>25</v>
      </c>
      <c r="B17" s="130">
        <f>B15*B16/100</f>
        <v>8797.6</v>
      </c>
      <c r="C17" s="144" t="s">
        <v>0</v>
      </c>
      <c r="D17" s="106"/>
      <c r="E17" s="32"/>
    </row>
    <row r="18" spans="1:6" s="10" customFormat="1" ht="9" customHeight="1" x14ac:dyDescent="0.3">
      <c r="A18" s="276"/>
      <c r="B18" s="276"/>
      <c r="C18" s="276"/>
      <c r="D18" s="276"/>
      <c r="E18" s="32"/>
    </row>
    <row r="19" spans="1:6" s="9" customFormat="1" ht="48" customHeight="1" x14ac:dyDescent="0.3">
      <c r="A19" s="258" t="s">
        <v>221</v>
      </c>
      <c r="B19" s="258"/>
      <c r="C19" s="258"/>
      <c r="D19" s="258"/>
      <c r="E19" s="27"/>
      <c r="F19" s="13"/>
    </row>
    <row r="20" spans="1:6" s="9" customFormat="1" ht="27" customHeight="1" x14ac:dyDescent="0.3">
      <c r="A20" s="259" t="s">
        <v>28</v>
      </c>
      <c r="B20" s="260"/>
      <c r="C20" s="260"/>
      <c r="D20" s="260"/>
      <c r="E20" s="26"/>
    </row>
    <row r="21" spans="1:6" s="9" customFormat="1" ht="48" customHeight="1" x14ac:dyDescent="0.3">
      <c r="A21" s="258" t="s">
        <v>203</v>
      </c>
      <c r="B21" s="258"/>
      <c r="C21" s="258"/>
      <c r="D21" s="258"/>
      <c r="E21" s="27"/>
      <c r="F21" s="13"/>
    </row>
    <row r="22" spans="1:6" s="9" customFormat="1" ht="15" customHeight="1" x14ac:dyDescent="0.3">
      <c r="A22" s="263"/>
      <c r="B22" s="263"/>
      <c r="C22" s="263"/>
      <c r="D22" s="263"/>
      <c r="E22" s="27"/>
      <c r="F22" s="13"/>
    </row>
    <row r="23" spans="1:6" s="9" customFormat="1" x14ac:dyDescent="0.3">
      <c r="A23" s="268"/>
      <c r="B23" s="268"/>
      <c r="C23" s="268"/>
      <c r="D23" s="268"/>
      <c r="E23" s="35"/>
      <c r="F23" s="4"/>
    </row>
    <row r="24" spans="1:6" s="9" customFormat="1" ht="11.25" customHeight="1" x14ac:dyDescent="0.3">
      <c r="A24" s="264"/>
      <c r="B24" s="264"/>
      <c r="C24" s="264"/>
      <c r="D24" s="264"/>
      <c r="E24" s="27"/>
      <c r="F24" s="13"/>
    </row>
    <row r="25" spans="1:6" s="9" customFormat="1" ht="22.5" customHeight="1" x14ac:dyDescent="0.3">
      <c r="A25" s="108" t="s">
        <v>94</v>
      </c>
      <c r="B25" s="109"/>
      <c r="C25" s="109"/>
      <c r="D25" s="109"/>
      <c r="E25" s="26"/>
    </row>
    <row r="26" spans="1:6" s="9" customFormat="1" ht="48" customHeight="1" x14ac:dyDescent="0.3">
      <c r="A26" s="267" t="s">
        <v>40</v>
      </c>
      <c r="B26" s="267"/>
      <c r="C26" s="267"/>
      <c r="D26" s="267"/>
      <c r="E26" s="27"/>
      <c r="F26" s="13"/>
    </row>
    <row r="27" spans="1:6" s="9" customFormat="1" ht="26.25" customHeight="1" x14ac:dyDescent="0.3">
      <c r="A27" s="266" t="s">
        <v>33</v>
      </c>
      <c r="B27" s="266"/>
      <c r="C27" s="266"/>
      <c r="D27" s="266"/>
      <c r="E27" s="58"/>
      <c r="F27" s="14"/>
    </row>
    <row r="28" spans="1:6" s="9" customFormat="1" ht="18" customHeight="1" x14ac:dyDescent="0.3">
      <c r="A28" s="267" t="s">
        <v>192</v>
      </c>
      <c r="B28" s="267"/>
      <c r="C28" s="267"/>
      <c r="D28" s="267"/>
      <c r="E28" s="27"/>
      <c r="F28" s="13"/>
    </row>
    <row r="29" spans="1:6" s="9" customFormat="1" ht="27" customHeight="1" x14ac:dyDescent="0.3">
      <c r="A29" s="266" t="s">
        <v>32</v>
      </c>
      <c r="B29" s="266"/>
      <c r="C29" s="266"/>
      <c r="D29" s="266"/>
      <c r="E29" s="58"/>
      <c r="F29" s="14"/>
    </row>
    <row r="30" spans="1:6" s="9" customFormat="1" ht="36" customHeight="1" x14ac:dyDescent="0.3">
      <c r="A30" s="267" t="s">
        <v>193</v>
      </c>
      <c r="B30" s="267"/>
      <c r="C30" s="267"/>
      <c r="D30" s="267"/>
      <c r="E30" s="27"/>
      <c r="F30" s="13"/>
    </row>
    <row r="31" spans="1:6" s="10" customFormat="1" ht="18" customHeight="1" x14ac:dyDescent="0.3">
      <c r="A31" s="102" t="s">
        <v>86</v>
      </c>
      <c r="B31" s="103">
        <f>B17*0.053</f>
        <v>466.27280000000002</v>
      </c>
      <c r="C31" s="99" t="s">
        <v>0</v>
      </c>
      <c r="D31" s="104"/>
      <c r="E31" s="101"/>
      <c r="F31" s="16"/>
    </row>
    <row r="32" spans="1:6" s="10" customFormat="1" ht="18" customHeight="1" x14ac:dyDescent="0.3">
      <c r="A32" s="102" t="s">
        <v>27</v>
      </c>
      <c r="B32" s="103">
        <f>B17</f>
        <v>8797.6</v>
      </c>
      <c r="C32" s="99" t="s">
        <v>0</v>
      </c>
      <c r="D32" s="104"/>
      <c r="E32" s="101"/>
      <c r="F32" s="16"/>
    </row>
    <row r="33" spans="1:10" s="10" customFormat="1" ht="18" customHeight="1" x14ac:dyDescent="0.3">
      <c r="A33" s="102" t="s">
        <v>72</v>
      </c>
      <c r="B33" s="11">
        <v>1195</v>
      </c>
      <c r="C33" s="99" t="s">
        <v>0</v>
      </c>
      <c r="D33" s="100" t="str">
        <f>IF(B33="","Fehler: Bitte Wert eingeben.","")</f>
        <v/>
      </c>
      <c r="E33" s="101"/>
      <c r="F33" s="16"/>
    </row>
    <row r="34" spans="1:10" s="9" customFormat="1" ht="15" customHeight="1" x14ac:dyDescent="0.3">
      <c r="A34" s="264"/>
      <c r="B34" s="264"/>
      <c r="C34" s="264"/>
      <c r="D34" s="264"/>
      <c r="E34" s="96"/>
      <c r="F34" s="15"/>
    </row>
    <row r="35" spans="1:10" s="9" customFormat="1" x14ac:dyDescent="0.3">
      <c r="A35" s="268"/>
      <c r="B35" s="268"/>
      <c r="C35" s="268"/>
      <c r="D35" s="268"/>
      <c r="E35" s="35"/>
      <c r="F35" s="4"/>
    </row>
    <row r="36" spans="1:10" s="9" customFormat="1" ht="11.25" customHeight="1" x14ac:dyDescent="0.3">
      <c r="A36" s="265"/>
      <c r="B36" s="265"/>
      <c r="C36" s="265"/>
      <c r="D36" s="265"/>
      <c r="E36" s="27"/>
      <c r="F36" s="13"/>
    </row>
    <row r="37" spans="1:10" s="9" customFormat="1" ht="22.5" customHeight="1" x14ac:dyDescent="0.3">
      <c r="A37" s="97" t="s">
        <v>95</v>
      </c>
      <c r="B37" s="90"/>
      <c r="C37" s="90"/>
      <c r="D37" s="90"/>
      <c r="E37" s="26"/>
    </row>
    <row r="38" spans="1:10" s="9" customFormat="1" ht="62.85" customHeight="1" x14ac:dyDescent="0.3">
      <c r="A38" s="261" t="s">
        <v>205</v>
      </c>
      <c r="B38" s="261"/>
      <c r="C38" s="261"/>
      <c r="D38" s="261"/>
      <c r="E38" s="27"/>
      <c r="F38" s="13"/>
    </row>
    <row r="39" spans="1:10" s="9" customFormat="1" ht="27" customHeight="1" x14ac:dyDescent="0.3">
      <c r="A39" s="262" t="s">
        <v>31</v>
      </c>
      <c r="B39" s="262"/>
      <c r="C39" s="262"/>
      <c r="D39" s="262"/>
      <c r="E39" s="58"/>
      <c r="F39" s="14"/>
    </row>
    <row r="40" spans="1:10" s="9" customFormat="1" ht="18" customHeight="1" x14ac:dyDescent="0.3">
      <c r="A40" s="261" t="s">
        <v>29</v>
      </c>
      <c r="B40" s="261"/>
      <c r="C40" s="261"/>
      <c r="D40" s="261"/>
      <c r="E40" s="27"/>
      <c r="F40" s="13"/>
    </row>
    <row r="41" spans="1:10" s="9" customFormat="1" ht="27" customHeight="1" x14ac:dyDescent="0.3">
      <c r="A41" s="262" t="s">
        <v>30</v>
      </c>
      <c r="B41" s="262"/>
      <c r="C41" s="262"/>
      <c r="D41" s="262"/>
      <c r="E41" s="58"/>
      <c r="F41" s="14"/>
    </row>
    <row r="42" spans="1:10" s="9" customFormat="1" ht="27" customHeight="1" x14ac:dyDescent="0.3">
      <c r="A42" s="307" t="s">
        <v>11</v>
      </c>
      <c r="B42" s="307"/>
      <c r="C42" s="307"/>
      <c r="D42" s="307"/>
      <c r="E42" s="58"/>
      <c r="F42" s="14"/>
    </row>
    <row r="43" spans="1:10" s="9" customFormat="1" ht="18.75" customHeight="1" x14ac:dyDescent="0.3">
      <c r="A43" s="80" t="s">
        <v>34</v>
      </c>
      <c r="B43" s="92">
        <f>B17</f>
        <v>8797.6</v>
      </c>
      <c r="C43" s="93" t="str">
        <f>IF(B43&gt;21510,"Bruttolohn liegt über dem Grenzwert.","Bruttolohn liegt unter dem Grenzwert.")</f>
        <v>Bruttolohn liegt unter dem Grenzwert.</v>
      </c>
      <c r="D43" s="83"/>
      <c r="E43" s="58"/>
    </row>
    <row r="44" spans="1:10" s="9" customFormat="1" ht="18.75" customHeight="1" x14ac:dyDescent="0.3">
      <c r="A44" s="80" t="s">
        <v>36</v>
      </c>
      <c r="B44" s="94">
        <f>IF(AND(B10=1,B9&gt;64),"Fehler: Alter liegt über Pensionsalter.",IF(AND(B10=2,B9&gt;63),"Fehler: Alter liegt über dem Pensionsalter.",IF(B9&lt;35,0.07,IF(B9&lt;45,0.1,IF(B9&lt;55,0.15,0.18)))))</f>
        <v>7.0000000000000007E-2</v>
      </c>
      <c r="C44" s="82"/>
      <c r="D44" s="83"/>
      <c r="E44" s="58"/>
    </row>
    <row r="45" spans="1:10" s="9" customFormat="1" ht="36" customHeight="1" x14ac:dyDescent="0.3">
      <c r="A45" s="80" t="s">
        <v>96</v>
      </c>
      <c r="B45" s="11">
        <v>1</v>
      </c>
      <c r="C45" s="91" t="s">
        <v>37</v>
      </c>
      <c r="D45" s="86" t="str">
        <f>IF(OR(AND(B45&lt;&gt;1,B45&lt;&gt;0),B45=""),"Fehler: Eingabe muss 1 oder 0 sein.","")</f>
        <v/>
      </c>
      <c r="E45" s="58"/>
      <c r="F45" s="285" t="s">
        <v>124</v>
      </c>
      <c r="G45" s="285"/>
      <c r="H45" s="285"/>
      <c r="I45" s="285"/>
      <c r="J45" s="285"/>
    </row>
    <row r="46" spans="1:10" s="9" customFormat="1" ht="18.75" customHeight="1" x14ac:dyDescent="0.3">
      <c r="A46" s="80" t="s">
        <v>38</v>
      </c>
      <c r="B46" s="81">
        <f>IF(B43&gt;21509,B43*B44,IF(B45=1,B43*B44,0))</f>
        <v>615.83200000000011</v>
      </c>
      <c r="C46" s="82"/>
      <c r="D46" s="83"/>
      <c r="E46" s="58"/>
      <c r="F46" s="120" t="s">
        <v>1</v>
      </c>
      <c r="G46" s="120" t="s">
        <v>42</v>
      </c>
      <c r="H46" s="120" t="s">
        <v>6</v>
      </c>
      <c r="I46" s="121" t="s">
        <v>52</v>
      </c>
      <c r="J46" s="121" t="s">
        <v>53</v>
      </c>
    </row>
    <row r="47" spans="1:10" s="9" customFormat="1" ht="27" customHeight="1" x14ac:dyDescent="0.3">
      <c r="A47" s="307" t="s">
        <v>8</v>
      </c>
      <c r="B47" s="307"/>
      <c r="C47" s="307"/>
      <c r="D47" s="307"/>
      <c r="E47" s="58"/>
      <c r="F47" s="120" t="s">
        <v>2</v>
      </c>
      <c r="G47" s="122">
        <f>MIN(MAX(34-B9,0),9)</f>
        <v>5</v>
      </c>
      <c r="H47" s="123">
        <v>7.0000000000000007E-2</v>
      </c>
      <c r="I47" s="126">
        <f>IF(OR(B43&gt;21509,B45=1),$B$43*H47*1.01*(1.01^(30+G47)-1)/0.01-$B$43*H47*1.01*(1.01^30-1)/0.01,0)</f>
        <v>4276.4223377203125</v>
      </c>
      <c r="J47" s="126">
        <f>IF(OR(B43&gt;21509,B45=1),$B$43*H47*1.01*(1.01^(29+G47)-1)/0.01-$B$43*H47*1.01*(1.01^29-1)/0.01,0)</f>
        <v>4234.0815224953949</v>
      </c>
    </row>
    <row r="48" spans="1:10" s="141" customFormat="1" ht="59.25" customHeight="1" x14ac:dyDescent="0.3">
      <c r="A48" s="308" t="s">
        <v>97</v>
      </c>
      <c r="B48" s="308"/>
      <c r="C48" s="308"/>
      <c r="D48" s="308"/>
      <c r="E48" s="160"/>
      <c r="F48" s="120" t="s">
        <v>3</v>
      </c>
      <c r="G48" s="122">
        <f>MIN(MAX(44-B9,0),10)</f>
        <v>10</v>
      </c>
      <c r="H48" s="123">
        <v>0.1</v>
      </c>
      <c r="I48" s="126">
        <f>IF(OR(B43&gt;21509,B45=1),$B$43*H48*1.01*(1.01^(20+G48)-1)/0.01-$B$43*H48*1.01*(1.01^20-1)/0.01,0)</f>
        <v>11343.22639307407</v>
      </c>
      <c r="J48" s="126">
        <f>IF(OR(B43&gt;21509,B45=1),$B$43*H48*1.01*(1.01^(19+G48)-1)/0.01-$B$43*H48*1.01*(1.01^19-1)/0.01,0)</f>
        <v>11230.917220865402</v>
      </c>
    </row>
    <row r="49" spans="1:10" s="10" customFormat="1" ht="36" customHeight="1" x14ac:dyDescent="0.3">
      <c r="A49" s="80" t="s">
        <v>98</v>
      </c>
      <c r="B49" s="11">
        <v>0</v>
      </c>
      <c r="C49" s="82" t="s">
        <v>0</v>
      </c>
      <c r="D49" s="86" t="str">
        <f>IF(B49="","Fehler: Bitte Wert eingeben.","")</f>
        <v/>
      </c>
      <c r="E49" s="32"/>
      <c r="F49" s="120" t="s">
        <v>4</v>
      </c>
      <c r="G49" s="122">
        <f>MIN(MAX(54-B9,0),10)</f>
        <v>10</v>
      </c>
      <c r="H49" s="123">
        <v>0.15</v>
      </c>
      <c r="I49" s="126">
        <f>IF(OR(B43&gt;21509,B45=1),$B$43*H49*1.01*(1.01^(10+G49)-1)/0.01-$B$43*H49*1.01*(1.01^10-1)/0.01,0)</f>
        <v>15403.312316668595</v>
      </c>
      <c r="J49" s="126">
        <f>IF(OR(B43&gt;21509,B45=1),$B$43*H49*1.01*(1.01^(9+G49)-1)/0.01-$B$43*H49*1.01*(1.01^9-1)/0.01,0)</f>
        <v>15250.804273929291</v>
      </c>
    </row>
    <row r="50" spans="1:10" s="10" customFormat="1" ht="18" customHeight="1" x14ac:dyDescent="0.3">
      <c r="A50" s="80" t="s">
        <v>81</v>
      </c>
      <c r="B50" s="81">
        <f>IF(B10=1,B49*1.01^(64-B9)+I51,IF(B10=2,B49*1.01^(63-B9)+J51,"Fehler: Bitte Alter, Geschlecht und Pensionskassenangaben oben eingeben."))</f>
        <v>45699.860006607152</v>
      </c>
      <c r="C50" s="82" t="s">
        <v>0</v>
      </c>
      <c r="D50" s="292" t="s">
        <v>123</v>
      </c>
      <c r="E50" s="32"/>
      <c r="F50" s="120" t="s">
        <v>5</v>
      </c>
      <c r="G50" s="122">
        <f>IF(B10=2,MIN(MAX(63-B9,0),9),IF(B10=1,MIN(MAX(64-B9,0),10),"Fehler: Bitte zu Beginn Alter und Geschlecht korrekt eingeben"))</f>
        <v>9</v>
      </c>
      <c r="H50" s="124">
        <v>0.18</v>
      </c>
      <c r="I50" s="127">
        <f>IF(OR(B43&gt;21509,B45=1),$B$43*H50*1.01*(1.01^(G50)-1)/0.01,0)</f>
        <v>14984.056989317061</v>
      </c>
      <c r="J50" s="127">
        <f>IF(OR(B43&gt;21509,B45=1),$B$43*H50*1.01*(1.01^(G50)-1)/0.01,0)</f>
        <v>14984.056989317061</v>
      </c>
    </row>
    <row r="51" spans="1:10" s="10" customFormat="1" ht="15" customHeight="1" x14ac:dyDescent="0.3">
      <c r="A51" s="83"/>
      <c r="B51" s="83"/>
      <c r="C51" s="83"/>
      <c r="D51" s="292"/>
      <c r="E51" s="32"/>
      <c r="F51" s="128"/>
      <c r="G51" s="128"/>
      <c r="H51" s="125" t="s">
        <v>7</v>
      </c>
      <c r="I51" s="126" t="str">
        <f>IF(B10=1,SUM(I47:I50),"-")</f>
        <v>-</v>
      </c>
      <c r="J51" s="126">
        <f>IF(B10=2,SUM(J47:J50),"-")</f>
        <v>45699.860006607152</v>
      </c>
    </row>
    <row r="52" spans="1:10" s="10" customFormat="1" ht="14.25" customHeight="1" x14ac:dyDescent="0.3">
      <c r="A52" s="310"/>
      <c r="B52" s="310"/>
      <c r="C52" s="310"/>
      <c r="D52" s="310"/>
      <c r="E52" s="32"/>
      <c r="F52" s="4"/>
      <c r="G52" s="9"/>
      <c r="H52" s="9"/>
      <c r="I52" s="9"/>
      <c r="J52" s="9"/>
    </row>
    <row r="53" spans="1:10" s="9" customFormat="1" ht="15" customHeight="1" x14ac:dyDescent="0.3">
      <c r="A53" s="286"/>
      <c r="B53" s="286"/>
      <c r="C53" s="286"/>
      <c r="D53" s="286"/>
      <c r="E53" s="35"/>
      <c r="F53" s="4"/>
    </row>
    <row r="54" spans="1:10" s="9" customFormat="1" ht="11.25" customHeight="1" x14ac:dyDescent="0.3">
      <c r="A54" s="287"/>
      <c r="B54" s="287"/>
      <c r="C54" s="287"/>
      <c r="D54" s="287"/>
      <c r="E54" s="26"/>
    </row>
    <row r="55" spans="1:10" s="9" customFormat="1" ht="22.5" customHeight="1" x14ac:dyDescent="0.3">
      <c r="A55" s="84" t="s">
        <v>99</v>
      </c>
      <c r="B55" s="85"/>
      <c r="C55" s="85"/>
      <c r="D55" s="85"/>
      <c r="E55" s="26"/>
    </row>
    <row r="56" spans="1:10" s="10" customFormat="1" ht="35.25" customHeight="1" x14ac:dyDescent="0.3">
      <c r="A56" s="72" t="s">
        <v>45</v>
      </c>
      <c r="B56" s="11">
        <v>0</v>
      </c>
      <c r="C56" s="74" t="s">
        <v>0</v>
      </c>
      <c r="D56" s="79" t="str">
        <f>IF(B56="","Fehler: Bitte Wert eingeben.","")</f>
        <v/>
      </c>
      <c r="E56" s="32"/>
    </row>
    <row r="57" spans="1:10" s="10" customFormat="1" ht="36" customHeight="1" x14ac:dyDescent="0.3">
      <c r="A57" s="72" t="s">
        <v>100</v>
      </c>
      <c r="B57" s="11">
        <v>2000</v>
      </c>
      <c r="C57" s="74" t="s">
        <v>0</v>
      </c>
      <c r="D57" s="79" t="str">
        <f>IF(B57="","Fehler: Bitte Wert eingeben.","")</f>
        <v/>
      </c>
      <c r="E57" s="32"/>
    </row>
    <row r="58" spans="1:10" s="10" customFormat="1" ht="18" customHeight="1" x14ac:dyDescent="0.3">
      <c r="A58" s="72" t="s">
        <v>122</v>
      </c>
      <c r="B58" s="73">
        <f>IF(B10=1,B57*1.01*(1.01^(64-B9)-1)/0.01+B56*1.01^(64-B9),IF(B10=2,B57*1.01*(1.01^(63-B9)-1)/0.01+B56*1.01^(63-B9),"Bitte überprüfen Sie Ihre Geschlechts- und Alteresangabe"))</f>
        <v>81320.551206253687</v>
      </c>
      <c r="C58" s="74" t="s">
        <v>0</v>
      </c>
      <c r="D58" s="291" t="s">
        <v>123</v>
      </c>
      <c r="E58" s="32"/>
    </row>
    <row r="59" spans="1:10" s="10" customFormat="1" ht="15" customHeight="1" x14ac:dyDescent="0.3">
      <c r="A59" s="252"/>
      <c r="B59" s="252"/>
      <c r="C59" s="252"/>
      <c r="D59" s="291"/>
      <c r="E59" s="32"/>
    </row>
    <row r="60" spans="1:10" s="10" customFormat="1" ht="15" customHeight="1" x14ac:dyDescent="0.3">
      <c r="A60" s="288"/>
      <c r="B60" s="288"/>
      <c r="C60" s="288"/>
      <c r="D60" s="288"/>
      <c r="E60" s="32"/>
    </row>
    <row r="61" spans="1:10" s="9" customFormat="1" x14ac:dyDescent="0.3">
      <c r="A61" s="268"/>
      <c r="B61" s="268"/>
      <c r="C61" s="268"/>
      <c r="D61" s="268"/>
      <c r="E61" s="35"/>
      <c r="F61" s="10"/>
    </row>
    <row r="62" spans="1:10" s="9" customFormat="1" ht="11.25" customHeight="1" x14ac:dyDescent="0.3">
      <c r="A62" s="296"/>
      <c r="B62" s="296"/>
      <c r="C62" s="296"/>
      <c r="D62" s="296"/>
      <c r="E62" s="26"/>
      <c r="F62" s="4"/>
    </row>
    <row r="63" spans="1:10" s="9" customFormat="1" ht="31.5" customHeight="1" x14ac:dyDescent="0.3">
      <c r="A63" s="40" t="s">
        <v>197</v>
      </c>
      <c r="B63" s="41"/>
      <c r="C63" s="41"/>
      <c r="D63" s="41"/>
      <c r="E63" s="26"/>
    </row>
    <row r="64" spans="1:10" s="9" customFormat="1" ht="93" customHeight="1" x14ac:dyDescent="0.3">
      <c r="A64" s="271" t="s">
        <v>194</v>
      </c>
      <c r="B64" s="271"/>
      <c r="C64" s="271"/>
      <c r="D64" s="271"/>
      <c r="E64" s="27"/>
      <c r="F64" s="13"/>
    </row>
    <row r="65" spans="1:6" s="9" customFormat="1" ht="36" customHeight="1" x14ac:dyDescent="0.3">
      <c r="A65" s="272" t="s">
        <v>47</v>
      </c>
      <c r="B65" s="272"/>
      <c r="C65" s="272"/>
      <c r="D65" s="272"/>
      <c r="E65" s="75"/>
      <c r="F65" s="18"/>
    </row>
    <row r="66" spans="1:6" s="9" customFormat="1" ht="136.5" customHeight="1" x14ac:dyDescent="0.3">
      <c r="A66" s="271" t="s">
        <v>206</v>
      </c>
      <c r="B66" s="271"/>
      <c r="C66" s="271"/>
      <c r="D66" s="271"/>
      <c r="E66" s="27"/>
      <c r="F66" s="13"/>
    </row>
    <row r="67" spans="1:6" s="9" customFormat="1" ht="30" customHeight="1" x14ac:dyDescent="0.3">
      <c r="A67" s="272" t="s">
        <v>48</v>
      </c>
      <c r="B67" s="272"/>
      <c r="C67" s="272"/>
      <c r="D67" s="272"/>
      <c r="E67" s="75"/>
      <c r="F67" s="18"/>
    </row>
    <row r="68" spans="1:6" s="9" customFormat="1" ht="15" customHeight="1" x14ac:dyDescent="0.3">
      <c r="A68" s="271" t="s">
        <v>49</v>
      </c>
      <c r="B68" s="271"/>
      <c r="C68" s="271"/>
      <c r="D68" s="271"/>
      <c r="E68" s="27"/>
      <c r="F68" s="13"/>
    </row>
    <row r="69" spans="1:6" s="9" customFormat="1" ht="35.25" customHeight="1" x14ac:dyDescent="0.3">
      <c r="A69" s="273" t="s">
        <v>50</v>
      </c>
      <c r="B69" s="273"/>
      <c r="C69" s="273"/>
      <c r="D69" s="273"/>
      <c r="E69" s="26"/>
    </row>
    <row r="70" spans="1:6" s="9" customFormat="1" ht="48" customHeight="1" x14ac:dyDescent="0.3">
      <c r="A70" s="271" t="s">
        <v>64</v>
      </c>
      <c r="B70" s="271"/>
      <c r="C70" s="271"/>
      <c r="D70" s="271"/>
      <c r="E70" s="26"/>
    </row>
    <row r="71" spans="1:6" s="9" customFormat="1" ht="35.25" customHeight="1" x14ac:dyDescent="0.3">
      <c r="A71" s="273" t="s">
        <v>51</v>
      </c>
      <c r="B71" s="273"/>
      <c r="C71" s="273"/>
      <c r="D71" s="273"/>
      <c r="E71" s="26"/>
    </row>
    <row r="72" spans="1:6" s="9" customFormat="1" ht="15.75" customHeight="1" x14ac:dyDescent="0.3">
      <c r="A72" s="268"/>
      <c r="B72" s="268"/>
      <c r="C72" s="268"/>
      <c r="D72" s="268"/>
      <c r="E72" s="76"/>
      <c r="F72" s="19"/>
    </row>
    <row r="73" spans="1:6" s="9" customFormat="1" ht="11.25" customHeight="1" x14ac:dyDescent="0.3">
      <c r="A73" s="251"/>
      <c r="B73" s="251"/>
      <c r="C73" s="251"/>
      <c r="D73" s="251"/>
      <c r="E73" s="76"/>
      <c r="F73" s="19"/>
    </row>
    <row r="74" spans="1:6" s="9" customFormat="1" ht="22.5" customHeight="1" x14ac:dyDescent="0.3">
      <c r="A74" s="77" t="s">
        <v>113</v>
      </c>
      <c r="B74" s="62"/>
      <c r="C74" s="62"/>
      <c r="D74" s="62"/>
      <c r="E74" s="26"/>
    </row>
    <row r="75" spans="1:6" s="9" customFormat="1" ht="36" customHeight="1" x14ac:dyDescent="0.3">
      <c r="A75" s="258" t="s">
        <v>101</v>
      </c>
      <c r="B75" s="258"/>
      <c r="C75" s="258"/>
      <c r="D75" s="258"/>
      <c r="E75" s="27"/>
      <c r="F75" s="13"/>
    </row>
    <row r="76" spans="1:6" s="9" customFormat="1" ht="27" customHeight="1" x14ac:dyDescent="0.3">
      <c r="A76" s="309" t="s">
        <v>102</v>
      </c>
      <c r="B76" s="309"/>
      <c r="C76" s="309"/>
      <c r="D76" s="309"/>
      <c r="E76" s="58"/>
      <c r="F76" s="14"/>
    </row>
    <row r="77" spans="1:6" s="21" customFormat="1" ht="24" customHeight="1" x14ac:dyDescent="0.25">
      <c r="A77" s="67" t="s">
        <v>106</v>
      </c>
      <c r="B77" s="78"/>
      <c r="C77" s="78"/>
      <c r="D77" s="78"/>
      <c r="E77" s="68"/>
      <c r="F77" s="20"/>
    </row>
    <row r="78" spans="1:6" s="10" customFormat="1" ht="18" customHeight="1" x14ac:dyDescent="0.3">
      <c r="A78" s="67" t="s">
        <v>54</v>
      </c>
      <c r="B78" s="11">
        <v>55000</v>
      </c>
      <c r="C78" s="54" t="s">
        <v>0</v>
      </c>
      <c r="D78" s="55" t="str">
        <f>IF(B78="","Fehler: Bitte Wert eingeben.","")</f>
        <v/>
      </c>
      <c r="E78" s="57"/>
      <c r="F78" s="22"/>
    </row>
    <row r="79" spans="1:6" s="10" customFormat="1" ht="18" customHeight="1" x14ac:dyDescent="0.3">
      <c r="A79" s="67" t="s">
        <v>55</v>
      </c>
      <c r="B79" s="11">
        <v>56000</v>
      </c>
      <c r="C79" s="54" t="s">
        <v>0</v>
      </c>
      <c r="D79" s="55" t="str">
        <f>IF(B79="","Fehler: Bitte Wert eingeben.","")</f>
        <v/>
      </c>
      <c r="E79" s="57"/>
      <c r="F79" s="22"/>
    </row>
    <row r="80" spans="1:6" s="9" customFormat="1" ht="24" customHeight="1" x14ac:dyDescent="0.3">
      <c r="A80" s="67" t="s">
        <v>107</v>
      </c>
      <c r="B80" s="69"/>
      <c r="C80" s="69"/>
      <c r="D80" s="69"/>
      <c r="E80" s="27"/>
      <c r="F80" s="13"/>
    </row>
    <row r="81" spans="1:6" s="9" customFormat="1" x14ac:dyDescent="0.25">
      <c r="A81" s="71" t="s">
        <v>54</v>
      </c>
      <c r="B81" s="23">
        <v>5500</v>
      </c>
      <c r="C81" s="69" t="s">
        <v>0</v>
      </c>
      <c r="D81" s="70" t="str">
        <f>IF(B81="","Fehler: Bitte Wert eingeben.","")</f>
        <v/>
      </c>
      <c r="E81" s="27"/>
      <c r="F81" s="13"/>
    </row>
    <row r="82" spans="1:6" s="9" customFormat="1" x14ac:dyDescent="0.25">
      <c r="A82" s="71" t="s">
        <v>55</v>
      </c>
      <c r="B82" s="23">
        <v>400</v>
      </c>
      <c r="C82" s="69" t="s">
        <v>0</v>
      </c>
      <c r="D82" s="70" t="str">
        <f>IF(B82="","Fehler: Bitte Wert eingeben.","")</f>
        <v/>
      </c>
      <c r="E82" s="27"/>
      <c r="F82" s="13"/>
    </row>
    <row r="83" spans="1:6" s="9" customFormat="1" ht="24.75" customHeight="1" x14ac:dyDescent="0.3">
      <c r="A83" s="253" t="s">
        <v>218</v>
      </c>
      <c r="B83" s="60"/>
      <c r="C83" s="61"/>
      <c r="D83" s="62"/>
      <c r="E83" s="26"/>
    </row>
    <row r="84" spans="1:6" s="10" customFormat="1" ht="18" customHeight="1" x14ac:dyDescent="0.3">
      <c r="A84" s="63" t="s">
        <v>60</v>
      </c>
      <c r="B84" s="64">
        <f>B17</f>
        <v>8797.6</v>
      </c>
      <c r="C84" s="54" t="s">
        <v>0</v>
      </c>
      <c r="D84" s="54"/>
      <c r="E84" s="57"/>
      <c r="F84" s="22"/>
    </row>
    <row r="85" spans="1:6" s="10" customFormat="1" ht="18" customHeight="1" x14ac:dyDescent="0.3">
      <c r="A85" s="63" t="s">
        <v>9</v>
      </c>
      <c r="B85" s="65">
        <v>5.2999999999999999E-2</v>
      </c>
      <c r="C85" s="54"/>
      <c r="D85" s="54"/>
      <c r="E85" s="57"/>
      <c r="F85" s="22"/>
    </row>
    <row r="86" spans="1:6" s="10" customFormat="1" ht="18" customHeight="1" x14ac:dyDescent="0.3">
      <c r="A86" s="63" t="s">
        <v>11</v>
      </c>
      <c r="B86" s="64">
        <f>B46</f>
        <v>615.83200000000011</v>
      </c>
      <c r="C86" s="54" t="s">
        <v>0</v>
      </c>
      <c r="D86" s="54"/>
      <c r="E86" s="57"/>
      <c r="F86" s="22"/>
    </row>
    <row r="87" spans="1:6" s="10" customFormat="1" ht="18" customHeight="1" x14ac:dyDescent="0.3">
      <c r="A87" s="63" t="s">
        <v>125</v>
      </c>
      <c r="B87" s="65">
        <v>0.02</v>
      </c>
      <c r="C87" s="54"/>
      <c r="D87" s="161" t="s">
        <v>126</v>
      </c>
      <c r="E87" s="66"/>
      <c r="F87" s="24"/>
    </row>
    <row r="88" spans="1:6" s="10" customFormat="1" ht="18" customHeight="1" x14ac:dyDescent="0.3">
      <c r="A88" s="63" t="s">
        <v>59</v>
      </c>
      <c r="B88" s="64">
        <f>B84*(1-B85-B87)-B86</f>
        <v>7539.5431999999992</v>
      </c>
      <c r="C88" s="54" t="s">
        <v>0</v>
      </c>
      <c r="D88" s="54"/>
      <c r="E88" s="57"/>
      <c r="F88" s="22"/>
    </row>
    <row r="89" spans="1:6" s="9" customFormat="1" ht="24.75" customHeight="1" x14ac:dyDescent="0.3">
      <c r="A89" s="59" t="s">
        <v>109</v>
      </c>
      <c r="B89" s="60"/>
      <c r="C89" s="61"/>
      <c r="D89" s="62"/>
      <c r="E89" s="26"/>
    </row>
    <row r="90" spans="1:6" s="10" customFormat="1" ht="18" customHeight="1" x14ac:dyDescent="0.3">
      <c r="A90" s="67" t="s">
        <v>103</v>
      </c>
      <c r="B90" s="130">
        <f>B78+B88</f>
        <v>62539.5432</v>
      </c>
      <c r="C90" s="131" t="s">
        <v>0</v>
      </c>
      <c r="D90" s="69"/>
      <c r="E90" s="57"/>
      <c r="F90" s="22"/>
    </row>
    <row r="91" spans="1:6" s="10" customFormat="1" ht="18" customHeight="1" x14ac:dyDescent="0.3">
      <c r="A91" s="67" t="s">
        <v>104</v>
      </c>
      <c r="B91" s="130">
        <f>B79+B88</f>
        <v>63539.5432</v>
      </c>
      <c r="C91" s="131" t="s">
        <v>0</v>
      </c>
      <c r="D91" s="69"/>
      <c r="E91" s="57"/>
      <c r="F91" s="22"/>
    </row>
    <row r="92" spans="1:6" s="21" customFormat="1" ht="39" customHeight="1" x14ac:dyDescent="0.25">
      <c r="A92" s="301" t="s">
        <v>105</v>
      </c>
      <c r="B92" s="301"/>
      <c r="C92" s="301"/>
      <c r="D92" s="301"/>
      <c r="E92" s="68"/>
      <c r="F92" s="20"/>
    </row>
    <row r="93" spans="1:6" s="9" customFormat="1" ht="24" customHeight="1" x14ac:dyDescent="0.3">
      <c r="A93" s="269" t="s">
        <v>70</v>
      </c>
      <c r="B93" s="270"/>
      <c r="C93" s="270"/>
      <c r="D93" s="270"/>
      <c r="E93" s="27"/>
      <c r="F93" s="13"/>
    </row>
    <row r="94" spans="1:6" s="10" customFormat="1" ht="18" customHeight="1" x14ac:dyDescent="0.3">
      <c r="A94" s="56" t="s">
        <v>62</v>
      </c>
      <c r="B94" s="11">
        <v>7998</v>
      </c>
      <c r="C94" s="54" t="s">
        <v>0</v>
      </c>
      <c r="D94" s="55" t="str">
        <f>IF(B94="","Fehler: Bitte Wert eingeben.","")</f>
        <v/>
      </c>
      <c r="E94" s="57"/>
      <c r="F94" s="22"/>
    </row>
    <row r="95" spans="1:6" s="10" customFormat="1" ht="18" customHeight="1" x14ac:dyDescent="0.3">
      <c r="A95" s="56" t="s">
        <v>63</v>
      </c>
      <c r="B95" s="11">
        <v>829</v>
      </c>
      <c r="C95" s="54" t="s">
        <v>0</v>
      </c>
      <c r="D95" s="55" t="str">
        <f>IF(B95="","Fehler: Bitte Wert eingeben.","")</f>
        <v/>
      </c>
      <c r="E95" s="34"/>
      <c r="F95" s="22"/>
    </row>
    <row r="96" spans="1:6" s="10" customFormat="1" ht="15" customHeight="1" x14ac:dyDescent="0.3">
      <c r="A96" s="297"/>
      <c r="B96" s="297"/>
      <c r="C96" s="297"/>
      <c r="D96" s="297"/>
      <c r="E96" s="34"/>
      <c r="F96" s="22"/>
    </row>
    <row r="97" spans="1:6" s="4" customFormat="1" x14ac:dyDescent="0.3">
      <c r="A97" s="311"/>
      <c r="B97" s="311"/>
      <c r="C97" s="311"/>
      <c r="D97" s="311"/>
      <c r="E97" s="42"/>
      <c r="F97" s="13"/>
    </row>
    <row r="98" spans="1:6" s="4" customFormat="1" ht="11.25" customHeight="1" x14ac:dyDescent="0.3">
      <c r="A98" s="298"/>
      <c r="B98" s="298"/>
      <c r="C98" s="298"/>
      <c r="D98" s="298"/>
      <c r="E98" s="42"/>
      <c r="F98" s="13"/>
    </row>
    <row r="99" spans="1:6" s="9" customFormat="1" ht="31.5" customHeight="1" x14ac:dyDescent="0.3">
      <c r="A99" s="43" t="s">
        <v>89</v>
      </c>
      <c r="B99" s="44"/>
      <c r="C99" s="44"/>
      <c r="D99" s="44"/>
      <c r="E99" s="45"/>
    </row>
    <row r="100" spans="1:6" s="9" customFormat="1" ht="30" customHeight="1" x14ac:dyDescent="0.3">
      <c r="A100" s="46" t="s">
        <v>90</v>
      </c>
      <c r="B100" s="156" t="s">
        <v>117</v>
      </c>
      <c r="C100" s="157"/>
      <c r="D100" s="157"/>
      <c r="E100" s="26"/>
      <c r="F100" s="13"/>
    </row>
    <row r="101" spans="1:6" s="10" customFormat="1" ht="18" customHeight="1" x14ac:dyDescent="0.3">
      <c r="A101" s="50" t="s">
        <v>65</v>
      </c>
      <c r="B101" s="133">
        <f>B17</f>
        <v>8797.6</v>
      </c>
      <c r="C101" s="154"/>
      <c r="D101" s="154"/>
      <c r="E101" s="32"/>
      <c r="F101" s="22"/>
    </row>
    <row r="102" spans="1:6" s="10" customFormat="1" ht="18" customHeight="1" x14ac:dyDescent="0.3">
      <c r="A102" s="53" t="s">
        <v>73</v>
      </c>
      <c r="B102" s="158"/>
      <c r="C102" s="154"/>
      <c r="D102" s="154"/>
      <c r="E102" s="32"/>
      <c r="F102" s="22"/>
    </row>
    <row r="103" spans="1:6" s="10" customFormat="1" ht="18" customHeight="1" x14ac:dyDescent="0.3">
      <c r="A103" s="136" t="s">
        <v>75</v>
      </c>
      <c r="B103" s="134">
        <f>B31</f>
        <v>466.27280000000002</v>
      </c>
      <c r="C103" s="159"/>
      <c r="D103" s="159"/>
      <c r="E103" s="32"/>
      <c r="F103" s="22"/>
    </row>
    <row r="104" spans="1:6" s="10" customFormat="1" ht="18" customHeight="1" x14ac:dyDescent="0.3">
      <c r="A104" s="136" t="s">
        <v>76</v>
      </c>
      <c r="B104" s="134">
        <f>B33</f>
        <v>1195</v>
      </c>
      <c r="C104" s="159"/>
      <c r="D104" s="159"/>
      <c r="E104" s="32"/>
      <c r="F104" s="22"/>
    </row>
    <row r="105" spans="1:6" s="10" customFormat="1" ht="18" customHeight="1" x14ac:dyDescent="0.3">
      <c r="A105" s="136" t="s">
        <v>77</v>
      </c>
      <c r="B105" s="134">
        <f>B46</f>
        <v>615.83200000000011</v>
      </c>
      <c r="C105" s="159"/>
      <c r="D105" s="159"/>
      <c r="E105" s="32"/>
      <c r="F105" s="22"/>
    </row>
    <row r="106" spans="1:6" s="10" customFormat="1" ht="18" customHeight="1" x14ac:dyDescent="0.3">
      <c r="A106" s="136" t="s">
        <v>78</v>
      </c>
      <c r="B106" s="134">
        <f>B50</f>
        <v>45699.860006607152</v>
      </c>
      <c r="C106" s="159"/>
      <c r="D106" s="159"/>
      <c r="E106" s="32"/>
      <c r="F106" s="22"/>
    </row>
    <row r="107" spans="1:6" s="10" customFormat="1" ht="18" customHeight="1" x14ac:dyDescent="0.3">
      <c r="A107" s="136" t="s">
        <v>128</v>
      </c>
      <c r="B107" s="134">
        <f>B57</f>
        <v>2000</v>
      </c>
      <c r="C107" s="159"/>
      <c r="D107" s="159"/>
      <c r="E107" s="32"/>
      <c r="F107" s="22"/>
    </row>
    <row r="108" spans="1:6" s="10" customFormat="1" ht="18" customHeight="1" x14ac:dyDescent="0.3">
      <c r="A108" s="136" t="s">
        <v>85</v>
      </c>
      <c r="B108" s="134">
        <f>B58</f>
        <v>81320.551206253687</v>
      </c>
      <c r="C108" s="159"/>
      <c r="D108" s="159"/>
      <c r="E108" s="32"/>
      <c r="F108" s="22"/>
    </row>
    <row r="109" spans="1:6" s="10" customFormat="1" ht="18" customHeight="1" x14ac:dyDescent="0.3">
      <c r="A109" s="53" t="s">
        <v>111</v>
      </c>
      <c r="B109" s="158"/>
      <c r="C109" s="154"/>
      <c r="D109" s="154"/>
      <c r="E109" s="32"/>
      <c r="F109" s="22"/>
    </row>
    <row r="110" spans="1:6" s="10" customFormat="1" ht="18" customHeight="1" x14ac:dyDescent="0.3">
      <c r="A110" s="136" t="s">
        <v>116</v>
      </c>
      <c r="B110" s="138">
        <f>B90-B78</f>
        <v>7539.5432000000001</v>
      </c>
      <c r="C110" s="159"/>
      <c r="D110" s="159"/>
      <c r="E110" s="32"/>
      <c r="F110" s="22"/>
    </row>
    <row r="111" spans="1:6" s="10" customFormat="1" ht="18" customHeight="1" x14ac:dyDescent="0.3">
      <c r="A111" s="136" t="s">
        <v>114</v>
      </c>
      <c r="B111" s="138">
        <f>B94-B81</f>
        <v>2498</v>
      </c>
      <c r="C111" s="159"/>
      <c r="D111" s="159"/>
      <c r="E111" s="32"/>
      <c r="F111" s="22"/>
    </row>
    <row r="112" spans="1:6" s="10" customFormat="1" ht="18" customHeight="1" x14ac:dyDescent="0.3">
      <c r="A112" s="137" t="s">
        <v>115</v>
      </c>
      <c r="B112" s="138">
        <f>B95-B82</f>
        <v>429</v>
      </c>
      <c r="C112" s="159"/>
      <c r="D112" s="159"/>
      <c r="E112" s="32"/>
      <c r="F112" s="22"/>
    </row>
    <row r="113" spans="1:6" s="10" customFormat="1" ht="18" customHeight="1" x14ac:dyDescent="0.3">
      <c r="A113" s="155" t="s">
        <v>69</v>
      </c>
      <c r="B113" s="142"/>
      <c r="C113" s="153"/>
      <c r="D113" s="154"/>
      <c r="E113" s="32"/>
      <c r="F113" s="22"/>
    </row>
    <row r="114" spans="1:6" s="9" customFormat="1" ht="18" customHeight="1" x14ac:dyDescent="0.3">
      <c r="A114" s="294"/>
      <c r="B114" s="294"/>
      <c r="C114" s="294"/>
      <c r="D114" s="294"/>
      <c r="E114" s="26"/>
      <c r="F114" s="13"/>
    </row>
    <row r="115" spans="1:6" x14ac:dyDescent="0.25">
      <c r="A115" s="29"/>
      <c r="B115" s="30"/>
      <c r="C115" s="30"/>
      <c r="D115" s="30"/>
      <c r="E115" s="31"/>
    </row>
  </sheetData>
  <sheetProtection algorithmName="SHA-512" hashValue="FCNbmBov1H3TTqULCtDUh06c4opMSbEluIvy6IknrxqNX7GGn8hQmKxGsysjRc5Z5F2dfbNqvszJKK8piCFCoA==" saltValue="4pFp5c1Oo+GI+exodnXtsw==" spinCount="100000" sheet="1" selectLockedCells="1"/>
  <mergeCells count="58">
    <mergeCell ref="D50:D51"/>
    <mergeCell ref="A52:D52"/>
    <mergeCell ref="A97:D97"/>
    <mergeCell ref="A92:D92"/>
    <mergeCell ref="A93:D93"/>
    <mergeCell ref="A96:D96"/>
    <mergeCell ref="A98:D98"/>
    <mergeCell ref="A114:D114"/>
    <mergeCell ref="A72:D72"/>
    <mergeCell ref="A75:D75"/>
    <mergeCell ref="A76:D76"/>
    <mergeCell ref="A41:D41"/>
    <mergeCell ref="A48:D48"/>
    <mergeCell ref="A53:D53"/>
    <mergeCell ref="A54:D54"/>
    <mergeCell ref="A71:D71"/>
    <mergeCell ref="A60:D60"/>
    <mergeCell ref="A61:D61"/>
    <mergeCell ref="A62:D62"/>
    <mergeCell ref="A64:D64"/>
    <mergeCell ref="A65:D65"/>
    <mergeCell ref="A66:D66"/>
    <mergeCell ref="A67:D67"/>
    <mergeCell ref="A68:D68"/>
    <mergeCell ref="A69:D69"/>
    <mergeCell ref="A70:D70"/>
    <mergeCell ref="D58:D59"/>
    <mergeCell ref="A34:D34"/>
    <mergeCell ref="A35:D35"/>
    <mergeCell ref="A38:D38"/>
    <mergeCell ref="A39:D39"/>
    <mergeCell ref="A40:D40"/>
    <mergeCell ref="A26:D26"/>
    <mergeCell ref="A27:D27"/>
    <mergeCell ref="A28:D28"/>
    <mergeCell ref="A29:D29"/>
    <mergeCell ref="A30:D30"/>
    <mergeCell ref="A1:D1"/>
    <mergeCell ref="A2:D2"/>
    <mergeCell ref="A3:D3"/>
    <mergeCell ref="A4:D4"/>
    <mergeCell ref="A5:D5"/>
    <mergeCell ref="A6:D6"/>
    <mergeCell ref="A42:D42"/>
    <mergeCell ref="A47:D47"/>
    <mergeCell ref="F45:J45"/>
    <mergeCell ref="A7:D7"/>
    <mergeCell ref="A11:D11"/>
    <mergeCell ref="A12:D12"/>
    <mergeCell ref="A13:D13"/>
    <mergeCell ref="A18:D18"/>
    <mergeCell ref="A19:D19"/>
    <mergeCell ref="A20:D20"/>
    <mergeCell ref="A21:D21"/>
    <mergeCell ref="A22:D22"/>
    <mergeCell ref="A36:D36"/>
    <mergeCell ref="A23:D23"/>
    <mergeCell ref="A24:D24"/>
  </mergeCells>
  <hyperlinks>
    <hyperlink ref="A20" r:id="rId1" display="https://www.spitextg.ch/files/HCNN011/2020_empfehlungen_besoldung_mitarbeitende_spitex.pdf" xr:uid="{8189830F-5F17-48B9-BB19-01428E7A50D2}"/>
    <hyperlink ref="A27" r:id="rId2" display="https://www.ahv-iv.ch/p/3.01.d" xr:uid="{E3917B93-0F6F-44EA-85E9-7E1837E59C00}"/>
    <hyperlink ref="A29" r:id="rId3" display="https://www.ahv-iv.ch/de/Merkbl%C3%A4tter-Formulare/Online-Rentensch%C3%A4tzung-ESCAL" xr:uid="{DF06DEEC-DD4F-4F81-AEC5-15DD3EFBC25D}"/>
    <hyperlink ref="A41" r:id="rId4" display="https://www.ahv-iv.ch/de/Sozialversicherungen/Weitere-Sozialversicherungen/Berufliche-Vorsorge-BV" xr:uid="{92EBB077-74E0-49AE-9702-B5355268115C}"/>
    <hyperlink ref="A39" r:id="rId5" display="https://web.aeis.ch/DE/static_pages/41/Unser%20Auftrag" xr:uid="{C00EFDA2-19CC-4035-8A80-1C322F9DAA8D}"/>
    <hyperlink ref="A65" r:id="rId6" display="https://www.kmu.admin.ch/kmu/de/home/praktisches-wissen/personal/personalmanagement/pflichten-der-arbeitgebenden/sozialversicherungen/krankentaggeld-versicherung.html" xr:uid="{98A342AA-C20D-42A2-B7FD-BA6C9F65AB89}"/>
    <hyperlink ref="A67" r:id="rId7" display="https://www.ch.ch/de/arbeitsunfahigkeit-infolge-krankheit-schwangerschaft-rechte/" xr:uid="{784C7241-EB5E-4853-89BE-C832FC5E5524}"/>
    <hyperlink ref="A69" r:id="rId8" location="c68572" display="https://www.koordination.ch/de/online-handbuch/krankentaggeld/lohnfortzahlungspflicht/#c68572" xr:uid="{723469E8-5C7C-42BF-8039-6EA4CC745FD8}"/>
    <hyperlink ref="A71" r:id="rId9" display="https://www.bag.admin.ch/bag/de/home/versicherungen/unfallversicherung.html" xr:uid="{E07CF92B-E1D3-49A7-BF00-132B70BF5166}"/>
    <hyperlink ref="A93" r:id="rId10" display="https://www.ch.ch/de/steuerrechner/" xr:uid="{7A12BE53-CE2B-418A-B630-55AC3DD5C8C9}"/>
  </hyperlinks>
  <pageMargins left="0.7" right="0.7" top="0.78740157499999996" bottom="0.78740157499999996" header="0.3" footer="0.3"/>
  <pageSetup paperSize="9"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5F4BE-94A0-4A45-9ADB-8F9FE5382B26}">
  <dimension ref="A1:P151"/>
  <sheetViews>
    <sheetView zoomScale="55" zoomScaleNormal="55" workbookViewId="0">
      <selection activeCell="F1" sqref="F1"/>
    </sheetView>
  </sheetViews>
  <sheetFormatPr baseColWidth="10" defaultColWidth="11.44140625" defaultRowHeight="15" x14ac:dyDescent="0.25"/>
  <cols>
    <col min="1" max="1" width="87.5546875" style="25" customWidth="1"/>
    <col min="2" max="2" width="16.5546875" style="25" customWidth="1"/>
    <col min="3" max="4" width="37.5546875" style="25" customWidth="1"/>
    <col min="5" max="5" width="4.21875" style="25" customWidth="1"/>
    <col min="6" max="6" width="15.21875" style="25" customWidth="1"/>
    <col min="7" max="7" width="19.77734375" style="25" customWidth="1"/>
    <col min="8" max="8" width="16.5546875" style="25" customWidth="1"/>
    <col min="9" max="10" width="11.44140625" style="25"/>
    <col min="11" max="11" width="17.77734375" style="25" customWidth="1"/>
    <col min="12" max="12" width="18.77734375" style="25" customWidth="1"/>
    <col min="13" max="14" width="11.44140625" style="25"/>
    <col min="15" max="15" width="6.5546875" style="25" customWidth="1"/>
    <col min="16" max="16" width="39.44140625" style="25" customWidth="1"/>
    <col min="17" max="16384" width="11.44140625" style="25"/>
  </cols>
  <sheetData>
    <row r="1" spans="1:16" s="2" customFormat="1" ht="17.399999999999999" x14ac:dyDescent="0.3">
      <c r="A1" s="278" t="s">
        <v>13</v>
      </c>
      <c r="B1" s="278"/>
      <c r="C1" s="278"/>
      <c r="D1" s="278"/>
      <c r="E1" s="115"/>
    </row>
    <row r="2" spans="1:16" s="2" customFormat="1" ht="41.25" customHeight="1" x14ac:dyDescent="0.3">
      <c r="A2" s="279" t="s">
        <v>214</v>
      </c>
      <c r="B2" s="279"/>
      <c r="C2" s="279"/>
      <c r="D2" s="279"/>
      <c r="E2" s="116"/>
    </row>
    <row r="3" spans="1:16" s="5" customFormat="1" x14ac:dyDescent="0.3">
      <c r="A3" s="283"/>
      <c r="B3" s="283"/>
      <c r="C3" s="283"/>
      <c r="D3" s="283"/>
      <c r="E3" s="35"/>
    </row>
    <row r="4" spans="1:16" s="5" customFormat="1" ht="301.5" customHeight="1" x14ac:dyDescent="0.3">
      <c r="A4" s="284" t="s">
        <v>224</v>
      </c>
      <c r="B4" s="284"/>
      <c r="C4" s="284"/>
      <c r="D4" s="284"/>
      <c r="E4" s="42"/>
      <c r="F4" s="7"/>
      <c r="G4" s="7"/>
      <c r="H4" s="7"/>
      <c r="I4" s="7"/>
      <c r="J4" s="7"/>
      <c r="K4" s="7"/>
      <c r="L4" s="7"/>
      <c r="M4" s="7"/>
      <c r="N4" s="7"/>
      <c r="O4" s="7"/>
      <c r="P4" s="7"/>
    </row>
    <row r="5" spans="1:16" s="2" customFormat="1" ht="18" customHeight="1" x14ac:dyDescent="0.3">
      <c r="A5" s="280" t="s">
        <v>186</v>
      </c>
      <c r="B5" s="281"/>
      <c r="C5" s="281"/>
      <c r="D5" s="282"/>
      <c r="E5" s="117"/>
    </row>
    <row r="6" spans="1:16" s="9" customFormat="1" x14ac:dyDescent="0.3">
      <c r="A6" s="274"/>
      <c r="B6" s="274"/>
      <c r="C6" s="274"/>
      <c r="D6" s="274"/>
      <c r="E6" s="35"/>
    </row>
    <row r="7" spans="1:16" s="9" customFormat="1" ht="11.25" customHeight="1" x14ac:dyDescent="0.3">
      <c r="A7" s="319"/>
      <c r="B7" s="319"/>
      <c r="C7" s="319"/>
      <c r="D7" s="319"/>
      <c r="E7" s="26"/>
    </row>
    <row r="8" spans="1:16" s="10" customFormat="1" ht="22.5" customHeight="1" x14ac:dyDescent="0.3">
      <c r="A8" s="186" t="s">
        <v>129</v>
      </c>
      <c r="B8" s="187"/>
      <c r="C8" s="187"/>
      <c r="D8" s="187"/>
      <c r="E8" s="32"/>
    </row>
    <row r="9" spans="1:16" s="10" customFormat="1" ht="54.75" customHeight="1" x14ac:dyDescent="0.3">
      <c r="A9" s="185" t="s">
        <v>207</v>
      </c>
      <c r="B9" s="212">
        <v>8</v>
      </c>
      <c r="C9" s="183" t="s">
        <v>130</v>
      </c>
      <c r="D9" s="184" t="str">
        <f>IF(NOT(AND(B9&gt;0,B9&lt;42.01)),"Fehler: Geben Sie einen Wert grösser als 0 ein (maximal 42).","")</f>
        <v/>
      </c>
      <c r="E9" s="32"/>
    </row>
    <row r="10" spans="1:16" s="10" customFormat="1" ht="14.25" customHeight="1" x14ac:dyDescent="0.3">
      <c r="A10" s="185"/>
      <c r="B10" s="194"/>
      <c r="C10" s="183"/>
      <c r="D10" s="184"/>
      <c r="E10" s="32"/>
    </row>
    <row r="11" spans="1:16" x14ac:dyDescent="0.25">
      <c r="A11" s="268"/>
      <c r="B11" s="268"/>
      <c r="C11" s="268"/>
      <c r="D11" s="325"/>
    </row>
    <row r="12" spans="1:16" s="9" customFormat="1" ht="11.25" customHeight="1" x14ac:dyDescent="0.3">
      <c r="A12" s="328"/>
      <c r="B12" s="328"/>
      <c r="C12" s="328"/>
      <c r="D12" s="328"/>
      <c r="E12" s="27"/>
    </row>
    <row r="13" spans="1:16" s="9" customFormat="1" ht="22.5" customHeight="1" x14ac:dyDescent="0.3">
      <c r="A13" s="188" t="s">
        <v>176</v>
      </c>
      <c r="B13" s="189"/>
      <c r="C13" s="189"/>
      <c r="D13" s="189"/>
      <c r="E13" s="26"/>
    </row>
    <row r="14" spans="1:16" s="9" customFormat="1" ht="18" customHeight="1" x14ac:dyDescent="0.3">
      <c r="A14" s="329" t="s">
        <v>180</v>
      </c>
      <c r="B14" s="329"/>
      <c r="C14" s="329"/>
      <c r="D14" s="329"/>
      <c r="E14" s="27"/>
    </row>
    <row r="15" spans="1:16" s="9" customFormat="1" ht="30.75" customHeight="1" x14ac:dyDescent="0.3">
      <c r="A15" s="321" t="s">
        <v>208</v>
      </c>
      <c r="B15" s="321"/>
      <c r="C15" s="321"/>
      <c r="D15" s="321"/>
      <c r="E15" s="26"/>
    </row>
    <row r="16" spans="1:16" s="9" customFormat="1" ht="9" customHeight="1" x14ac:dyDescent="0.3">
      <c r="A16" s="197"/>
      <c r="B16" s="197"/>
      <c r="C16" s="197"/>
      <c r="D16" s="197"/>
      <c r="E16" s="26"/>
    </row>
    <row r="17" spans="1:5" s="9" customFormat="1" ht="36.75" customHeight="1" x14ac:dyDescent="0.3">
      <c r="A17" s="195" t="s">
        <v>158</v>
      </c>
      <c r="B17" s="11">
        <v>500</v>
      </c>
      <c r="C17" s="190" t="s">
        <v>151</v>
      </c>
      <c r="D17" s="198" t="str">
        <f>IF(B17="","Fehler: Bitte Wert eingeben.","")</f>
        <v/>
      </c>
      <c r="E17" s="58"/>
    </row>
    <row r="18" spans="1:5" s="9" customFormat="1" ht="36.75" customHeight="1" x14ac:dyDescent="0.3">
      <c r="A18" s="195" t="s">
        <v>159</v>
      </c>
      <c r="B18" s="11">
        <v>400</v>
      </c>
      <c r="C18" s="190" t="s">
        <v>132</v>
      </c>
      <c r="D18" s="198" t="str">
        <f>IF(B18="","Fehler: Bitte Wert eingeben.","")</f>
        <v/>
      </c>
      <c r="E18" s="58"/>
    </row>
    <row r="19" spans="1:5" s="9" customFormat="1" ht="30.75" customHeight="1" x14ac:dyDescent="0.3">
      <c r="A19" s="321" t="s">
        <v>195</v>
      </c>
      <c r="B19" s="321"/>
      <c r="C19" s="321"/>
      <c r="D19" s="321"/>
      <c r="E19" s="26"/>
    </row>
    <row r="20" spans="1:5" s="9" customFormat="1" ht="9" customHeight="1" x14ac:dyDescent="0.3">
      <c r="A20" s="197"/>
      <c r="B20" s="197"/>
      <c r="C20" s="197"/>
      <c r="D20" s="197"/>
      <c r="E20" s="26"/>
    </row>
    <row r="21" spans="1:5" s="9" customFormat="1" ht="36.75" customHeight="1" x14ac:dyDescent="0.3">
      <c r="A21" s="195" t="s">
        <v>158</v>
      </c>
      <c r="B21" s="11">
        <v>800</v>
      </c>
      <c r="C21" s="190" t="s">
        <v>151</v>
      </c>
      <c r="D21" s="198" t="str">
        <f>IF(B21="","Fehler: Bitte Wert eingeben.","")</f>
        <v/>
      </c>
      <c r="E21" s="58"/>
    </row>
    <row r="22" spans="1:5" s="9" customFormat="1" ht="36.75" customHeight="1" x14ac:dyDescent="0.3">
      <c r="A22" s="195" t="s">
        <v>159</v>
      </c>
      <c r="B22" s="11">
        <v>700</v>
      </c>
      <c r="C22" s="190" t="s">
        <v>132</v>
      </c>
      <c r="D22" s="198" t="str">
        <f>IF(B22="","Fehler: Bitte Wert eingeben.","")</f>
        <v/>
      </c>
      <c r="E22" s="58"/>
    </row>
    <row r="23" spans="1:5" s="9" customFormat="1" ht="13.5" customHeight="1" x14ac:dyDescent="0.3">
      <c r="A23" s="195"/>
      <c r="B23" s="199"/>
      <c r="C23" s="190"/>
      <c r="D23" s="196"/>
      <c r="E23" s="174"/>
    </row>
    <row r="24" spans="1:5" s="9" customFormat="1" x14ac:dyDescent="0.3">
      <c r="A24" s="268"/>
      <c r="B24" s="268"/>
      <c r="C24" s="268"/>
      <c r="D24" s="325"/>
      <c r="E24" s="35"/>
    </row>
    <row r="25" spans="1:5" s="9" customFormat="1" ht="11.25" customHeight="1" x14ac:dyDescent="0.3">
      <c r="A25" s="263"/>
      <c r="B25" s="263"/>
      <c r="C25" s="263"/>
      <c r="D25" s="263"/>
      <c r="E25" s="27"/>
    </row>
    <row r="26" spans="1:5" s="9" customFormat="1" ht="22.5" customHeight="1" x14ac:dyDescent="0.3">
      <c r="A26" s="327" t="s">
        <v>177</v>
      </c>
      <c r="B26" s="327"/>
      <c r="C26" s="327"/>
      <c r="D26" s="327"/>
      <c r="E26" s="26"/>
    </row>
    <row r="27" spans="1:5" s="9" customFormat="1" ht="31.5" customHeight="1" x14ac:dyDescent="0.3">
      <c r="A27" s="320" t="s">
        <v>208</v>
      </c>
      <c r="B27" s="320"/>
      <c r="C27" s="320"/>
      <c r="D27" s="320"/>
      <c r="E27" s="26"/>
    </row>
    <row r="28" spans="1:5" s="10" customFormat="1" ht="9" customHeight="1" x14ac:dyDescent="0.3">
      <c r="A28" s="276"/>
      <c r="B28" s="276"/>
      <c r="C28" s="276"/>
      <c r="D28" s="276"/>
      <c r="E28" s="32"/>
    </row>
    <row r="29" spans="1:5" s="10" customFormat="1" ht="99" customHeight="1" x14ac:dyDescent="0.3">
      <c r="A29" s="67" t="s">
        <v>209</v>
      </c>
      <c r="B29" s="168">
        <v>20.141025639999999</v>
      </c>
      <c r="C29" s="105" t="s">
        <v>131</v>
      </c>
      <c r="D29" s="55" t="str">
        <f>IF(NOT(AND(B29&gt;0,B29&lt;60.01)),"Fehler: Geben Sie einen Wert grösser als 0 ein (maximal 60).","")</f>
        <v/>
      </c>
      <c r="E29" s="32"/>
    </row>
    <row r="30" spans="1:5" s="9" customFormat="1" ht="90" customHeight="1" x14ac:dyDescent="0.25">
      <c r="A30" s="326" t="s">
        <v>210</v>
      </c>
      <c r="B30" s="326"/>
      <c r="C30" s="326"/>
      <c r="D30" s="326"/>
      <c r="E30" s="27"/>
    </row>
    <row r="31" spans="1:5" s="163" customFormat="1" ht="27" customHeight="1" x14ac:dyDescent="0.3">
      <c r="A31" s="316" t="s">
        <v>28</v>
      </c>
      <c r="B31" s="317"/>
      <c r="C31" s="317"/>
      <c r="D31" s="317"/>
      <c r="E31" s="162"/>
    </row>
    <row r="32" spans="1:5" s="10" customFormat="1" ht="18" customHeight="1" x14ac:dyDescent="0.3">
      <c r="A32" s="56" t="s">
        <v>136</v>
      </c>
      <c r="B32" s="166">
        <f>B29</f>
        <v>20.141025639999999</v>
      </c>
      <c r="C32" s="165" t="s">
        <v>0</v>
      </c>
      <c r="D32" s="106"/>
      <c r="E32" s="32"/>
    </row>
    <row r="33" spans="1:5" s="10" customFormat="1" ht="18" customHeight="1" x14ac:dyDescent="0.3">
      <c r="A33" s="56" t="s">
        <v>137</v>
      </c>
      <c r="B33" s="164">
        <f>B29*B9*52</f>
        <v>8378.6666662400003</v>
      </c>
      <c r="C33" s="165" t="s">
        <v>0</v>
      </c>
      <c r="D33" s="106"/>
      <c r="E33" s="32"/>
    </row>
    <row r="34" spans="1:5" s="10" customFormat="1" ht="18" customHeight="1" x14ac:dyDescent="0.3">
      <c r="A34" s="56" t="s">
        <v>138</v>
      </c>
      <c r="B34" s="164">
        <f>B29*260*8.4</f>
        <v>43987.999997759995</v>
      </c>
      <c r="C34" s="165" t="s">
        <v>0</v>
      </c>
      <c r="D34" s="106"/>
      <c r="E34" s="32"/>
    </row>
    <row r="35" spans="1:5" s="21" customFormat="1" ht="37.5" customHeight="1" x14ac:dyDescent="0.3">
      <c r="A35" s="320" t="s">
        <v>195</v>
      </c>
      <c r="B35" s="320"/>
      <c r="C35" s="320"/>
      <c r="D35" s="320"/>
      <c r="E35" s="167"/>
    </row>
    <row r="36" spans="1:5" s="10" customFormat="1" ht="9" customHeight="1" x14ac:dyDescent="0.3">
      <c r="A36" s="276"/>
      <c r="B36" s="276"/>
      <c r="C36" s="276"/>
      <c r="D36" s="276"/>
      <c r="E36" s="32"/>
    </row>
    <row r="37" spans="1:5" s="9" customFormat="1" ht="119.25" customHeight="1" x14ac:dyDescent="0.3">
      <c r="A37" s="67" t="s">
        <v>199</v>
      </c>
      <c r="B37" s="11">
        <v>72989</v>
      </c>
      <c r="C37" s="105" t="s">
        <v>132</v>
      </c>
      <c r="D37" s="55" t="str">
        <f>IF(NOT(AND(B37&gt;0,B37&lt;200000.01)),"Fehler: Geben Sie einen Wert grösser als 0 ein (maximal 200'000).","")</f>
        <v/>
      </c>
      <c r="E37" s="26"/>
    </row>
    <row r="38" spans="1:5" s="10" customFormat="1" ht="36.75" customHeight="1" x14ac:dyDescent="0.3">
      <c r="A38" s="67" t="s">
        <v>133</v>
      </c>
      <c r="B38" s="11">
        <v>2100</v>
      </c>
      <c r="C38" s="105" t="s">
        <v>134</v>
      </c>
      <c r="D38" s="55" t="str">
        <f>IF(NOT(AND(B38&gt;0,B38&lt;2500.01)),"Fehler: Geben Sie einen Wert grösser als 0 ein (maximal 2'500).","")</f>
        <v/>
      </c>
      <c r="E38" s="32"/>
    </row>
    <row r="39" spans="1:5" s="9" customFormat="1" ht="36" customHeight="1" x14ac:dyDescent="0.25">
      <c r="A39" s="326" t="s">
        <v>135</v>
      </c>
      <c r="B39" s="326"/>
      <c r="C39" s="326"/>
      <c r="D39" s="326"/>
      <c r="E39" s="27"/>
    </row>
    <row r="40" spans="1:5" s="163" customFormat="1" ht="27" customHeight="1" x14ac:dyDescent="0.3">
      <c r="A40" s="316" t="s">
        <v>28</v>
      </c>
      <c r="B40" s="317"/>
      <c r="C40" s="317"/>
      <c r="D40" s="317"/>
      <c r="E40" s="162"/>
    </row>
    <row r="41" spans="1:5" s="10" customFormat="1" ht="18" customHeight="1" x14ac:dyDescent="0.3">
      <c r="A41" s="56" t="s">
        <v>136</v>
      </c>
      <c r="B41" s="166">
        <f>B37/B38</f>
        <v>34.756666666666668</v>
      </c>
      <c r="C41" s="165" t="s">
        <v>0</v>
      </c>
      <c r="D41" s="106"/>
      <c r="E41" s="32"/>
    </row>
    <row r="42" spans="1:5" s="10" customFormat="1" ht="18" customHeight="1" x14ac:dyDescent="0.3">
      <c r="A42" s="56" t="s">
        <v>137</v>
      </c>
      <c r="B42" s="164">
        <f>B37</f>
        <v>72989</v>
      </c>
      <c r="C42" s="165" t="s">
        <v>0</v>
      </c>
      <c r="D42" s="106"/>
      <c r="E42" s="32"/>
    </row>
    <row r="43" spans="1:5" s="10" customFormat="1" ht="18" customHeight="1" x14ac:dyDescent="0.3">
      <c r="A43" s="56" t="s">
        <v>139</v>
      </c>
      <c r="B43" s="164">
        <f>B37/B38*2100</f>
        <v>72989</v>
      </c>
      <c r="C43" s="165" t="s">
        <v>0</v>
      </c>
      <c r="D43" s="106"/>
      <c r="E43" s="32"/>
    </row>
    <row r="44" spans="1:5" s="10" customFormat="1" ht="9" customHeight="1" x14ac:dyDescent="0.3">
      <c r="A44" s="276"/>
      <c r="B44" s="276"/>
      <c r="C44" s="276"/>
      <c r="D44" s="276"/>
      <c r="E44" s="32"/>
    </row>
    <row r="45" spans="1:5" x14ac:dyDescent="0.25">
      <c r="A45" s="312"/>
      <c r="B45" s="313"/>
      <c r="C45" s="313"/>
      <c r="D45" s="314"/>
    </row>
    <row r="46" spans="1:5" s="9" customFormat="1" ht="11.25" customHeight="1" x14ac:dyDescent="0.3">
      <c r="A46" s="264"/>
      <c r="B46" s="264"/>
      <c r="C46" s="264"/>
      <c r="D46" s="264"/>
      <c r="E46" s="27"/>
    </row>
    <row r="47" spans="1:5" s="9" customFormat="1" ht="22.5" customHeight="1" x14ac:dyDescent="0.3">
      <c r="A47" s="108" t="s">
        <v>178</v>
      </c>
      <c r="B47" s="109"/>
      <c r="C47" s="109"/>
      <c r="D47" s="109"/>
      <c r="E47" s="26"/>
    </row>
    <row r="48" spans="1:5" s="9" customFormat="1" ht="30.75" customHeight="1" x14ac:dyDescent="0.3">
      <c r="A48" s="315" t="s">
        <v>208</v>
      </c>
      <c r="B48" s="315"/>
      <c r="C48" s="315"/>
      <c r="D48" s="315"/>
      <c r="E48" s="26"/>
    </row>
    <row r="49" spans="1:5" s="10" customFormat="1" ht="36" customHeight="1" x14ac:dyDescent="0.3">
      <c r="A49" s="102" t="s">
        <v>147</v>
      </c>
      <c r="B49" s="169">
        <f>B29*0.053</f>
        <v>1.06747435892</v>
      </c>
      <c r="C49" s="99" t="s">
        <v>131</v>
      </c>
      <c r="D49" s="100"/>
      <c r="E49" s="101"/>
    </row>
    <row r="50" spans="1:5" s="10" customFormat="1" ht="36" customHeight="1" x14ac:dyDescent="0.3">
      <c r="A50" s="102" t="s">
        <v>148</v>
      </c>
      <c r="B50" s="169">
        <f>B29*0.011</f>
        <v>0.22155128203999996</v>
      </c>
      <c r="C50" s="99" t="s">
        <v>131</v>
      </c>
      <c r="D50" s="172" t="s">
        <v>145</v>
      </c>
      <c r="E50" s="101"/>
    </row>
    <row r="51" spans="1:5" s="10" customFormat="1" ht="9" customHeight="1" x14ac:dyDescent="0.3">
      <c r="A51" s="318"/>
      <c r="B51" s="318"/>
      <c r="C51" s="318"/>
      <c r="D51" s="318"/>
      <c r="E51" s="32"/>
    </row>
    <row r="52" spans="1:5" s="10" customFormat="1" ht="36" customHeight="1" x14ac:dyDescent="0.3">
      <c r="A52" s="102" t="s">
        <v>141</v>
      </c>
      <c r="B52" s="168">
        <v>1.5</v>
      </c>
      <c r="C52" s="99" t="s">
        <v>140</v>
      </c>
      <c r="D52" s="178" t="str">
        <f>IF(NOT(AND(B52&gt;0,B52&lt;6)),"Fehler: Geben Sie einen Wert grösser als 0 ein (maximal 6).","")</f>
        <v/>
      </c>
      <c r="E52" s="101"/>
    </row>
    <row r="53" spans="1:5" s="10" customFormat="1" ht="18" customHeight="1" x14ac:dyDescent="0.3">
      <c r="A53" s="102" t="s">
        <v>143</v>
      </c>
      <c r="B53" s="171">
        <f>B29*B52/100</f>
        <v>0.30211538459999998</v>
      </c>
      <c r="C53" s="99" t="s">
        <v>131</v>
      </c>
      <c r="D53" s="104"/>
      <c r="E53" s="101"/>
    </row>
    <row r="54" spans="1:5" s="10" customFormat="1" ht="17.25" customHeight="1" x14ac:dyDescent="0.3">
      <c r="A54" s="318"/>
      <c r="B54" s="318"/>
      <c r="C54" s="318"/>
      <c r="D54" s="318"/>
      <c r="E54" s="32"/>
    </row>
    <row r="55" spans="1:5" s="10" customFormat="1" ht="36" customHeight="1" x14ac:dyDescent="0.3">
      <c r="A55" s="102" t="s">
        <v>211</v>
      </c>
      <c r="B55" s="11">
        <v>1</v>
      </c>
      <c r="C55" s="170" t="s">
        <v>37</v>
      </c>
      <c r="D55" s="100" t="str">
        <f>IF(OR(AND(B55&lt;&gt;0,B55&lt;&gt;1),B55=""),"Fehler: Geben Sie 1 oder 0 ein.","")</f>
        <v/>
      </c>
      <c r="E55" s="101"/>
    </row>
    <row r="56" spans="1:5" s="10" customFormat="1" ht="36" customHeight="1" x14ac:dyDescent="0.3">
      <c r="A56" s="102" t="s">
        <v>142</v>
      </c>
      <c r="B56" s="168">
        <v>1</v>
      </c>
      <c r="C56" s="99" t="s">
        <v>140</v>
      </c>
      <c r="D56" s="178" t="str">
        <f>IF(B55=1,IF(NOT(AND(B56&gt;0,B56&lt;6)),"Fehler: Geben Sie einen Wert grösser als 0 ein (maximal 6).",""),"")</f>
        <v/>
      </c>
      <c r="E56" s="101"/>
    </row>
    <row r="57" spans="1:5" s="10" customFormat="1" ht="18" customHeight="1" x14ac:dyDescent="0.3">
      <c r="A57" s="102" t="s">
        <v>144</v>
      </c>
      <c r="B57" s="171">
        <f>IF(B55=1,B29*B56/100,0)</f>
        <v>0.20141025639999999</v>
      </c>
      <c r="C57" s="99" t="s">
        <v>131</v>
      </c>
      <c r="D57" s="104"/>
      <c r="E57" s="101"/>
    </row>
    <row r="58" spans="1:5" s="9" customFormat="1" ht="30.75" customHeight="1" x14ac:dyDescent="0.3">
      <c r="A58" s="315" t="s">
        <v>195</v>
      </c>
      <c r="B58" s="315"/>
      <c r="C58" s="315"/>
      <c r="D58" s="315"/>
      <c r="E58" s="26"/>
    </row>
    <row r="59" spans="1:5" s="10" customFormat="1" ht="36" customHeight="1" x14ac:dyDescent="0.3">
      <c r="A59" s="102" t="s">
        <v>147</v>
      </c>
      <c r="B59" s="169">
        <f>B41*0.053</f>
        <v>1.8421033333333334</v>
      </c>
      <c r="C59" s="99" t="s">
        <v>131</v>
      </c>
      <c r="D59" s="100"/>
      <c r="E59" s="101"/>
    </row>
    <row r="60" spans="1:5" s="10" customFormat="1" ht="36" customHeight="1" x14ac:dyDescent="0.3">
      <c r="A60" s="102" t="s">
        <v>148</v>
      </c>
      <c r="B60" s="169">
        <f>B41*0.011</f>
        <v>0.38232333333333335</v>
      </c>
      <c r="C60" s="99" t="s">
        <v>131</v>
      </c>
      <c r="D60" s="172" t="s">
        <v>145</v>
      </c>
      <c r="E60" s="101"/>
    </row>
    <row r="61" spans="1:5" s="10" customFormat="1" ht="9" customHeight="1" x14ac:dyDescent="0.3">
      <c r="A61" s="318"/>
      <c r="B61" s="318"/>
      <c r="C61" s="318"/>
      <c r="D61" s="318"/>
      <c r="E61" s="32"/>
    </row>
    <row r="62" spans="1:5" s="10" customFormat="1" ht="36" customHeight="1" x14ac:dyDescent="0.3">
      <c r="A62" s="102" t="s">
        <v>141</v>
      </c>
      <c r="B62" s="168">
        <v>1.5</v>
      </c>
      <c r="C62" s="99" t="s">
        <v>140</v>
      </c>
      <c r="D62" s="178" t="str">
        <f>IF(NOT(AND(B62&gt;0,B62&lt;6)),"Fehler: Geben Sie einen Wert grösser als 0 ein (maximal 6).","")</f>
        <v/>
      </c>
      <c r="E62" s="101"/>
    </row>
    <row r="63" spans="1:5" s="10" customFormat="1" ht="18" customHeight="1" x14ac:dyDescent="0.3">
      <c r="A63" s="102" t="s">
        <v>143</v>
      </c>
      <c r="B63" s="171">
        <f>B41*B62/100</f>
        <v>0.52135000000000009</v>
      </c>
      <c r="C63" s="99" t="s">
        <v>131</v>
      </c>
      <c r="D63" s="104"/>
      <c r="E63" s="101"/>
    </row>
    <row r="64" spans="1:5" s="10" customFormat="1" ht="17.25" customHeight="1" x14ac:dyDescent="0.3">
      <c r="A64" s="318"/>
      <c r="B64" s="318"/>
      <c r="C64" s="318"/>
      <c r="D64" s="318"/>
      <c r="E64" s="32"/>
    </row>
    <row r="65" spans="1:5" s="10" customFormat="1" ht="36" customHeight="1" x14ac:dyDescent="0.3">
      <c r="A65" s="102" t="s">
        <v>212</v>
      </c>
      <c r="B65" s="11">
        <v>1</v>
      </c>
      <c r="C65" s="170" t="s">
        <v>37</v>
      </c>
      <c r="D65" s="100" t="str">
        <f>IF(OR(AND(B65&lt;&gt;1,B65&lt;&gt;0),B65=""),"Fehler: Eingabe muss 1 oder 0 sein.","")</f>
        <v/>
      </c>
      <c r="E65" s="101"/>
    </row>
    <row r="66" spans="1:5" s="10" customFormat="1" ht="36" customHeight="1" x14ac:dyDescent="0.3">
      <c r="A66" s="102" t="s">
        <v>142</v>
      </c>
      <c r="B66" s="168">
        <v>1</v>
      </c>
      <c r="C66" s="99" t="s">
        <v>140</v>
      </c>
      <c r="D66" s="178" t="str">
        <f>IF(B65=1,IF(NOT(AND(B66&gt;0,B66&lt;6)),"Fehler: Geben Sie einen Wert grösser als 0 ein (maximal 6).",""),"")</f>
        <v/>
      </c>
      <c r="E66" s="101"/>
    </row>
    <row r="67" spans="1:5" s="10" customFormat="1" ht="18" customHeight="1" x14ac:dyDescent="0.3">
      <c r="A67" s="102" t="s">
        <v>144</v>
      </c>
      <c r="B67" s="171">
        <f>IF(B65=1,B41*B66/100,0)</f>
        <v>0.34756666666666669</v>
      </c>
      <c r="C67" s="99" t="s">
        <v>131</v>
      </c>
      <c r="D67" s="104"/>
      <c r="E67" s="101"/>
    </row>
    <row r="68" spans="1:5" s="10" customFormat="1" ht="13.5" customHeight="1" x14ac:dyDescent="0.3">
      <c r="A68" s="318"/>
      <c r="B68" s="318"/>
      <c r="C68" s="318"/>
      <c r="D68" s="318"/>
      <c r="E68" s="32"/>
    </row>
    <row r="69" spans="1:5" s="9" customFormat="1" x14ac:dyDescent="0.3">
      <c r="A69" s="268"/>
      <c r="B69" s="268"/>
      <c r="C69" s="268"/>
      <c r="D69" s="268"/>
      <c r="E69" s="35"/>
    </row>
    <row r="70" spans="1:5" s="9" customFormat="1" ht="11.25" customHeight="1" x14ac:dyDescent="0.3">
      <c r="A70" s="265"/>
      <c r="B70" s="265"/>
      <c r="C70" s="265"/>
      <c r="D70" s="265"/>
      <c r="E70" s="27"/>
    </row>
    <row r="71" spans="1:5" s="9" customFormat="1" ht="22.5" customHeight="1" x14ac:dyDescent="0.3">
      <c r="A71" s="97" t="s">
        <v>179</v>
      </c>
      <c r="B71" s="90"/>
      <c r="C71" s="90"/>
      <c r="D71" s="90"/>
      <c r="E71" s="26"/>
    </row>
    <row r="72" spans="1:5" s="9" customFormat="1" ht="62.85" customHeight="1" x14ac:dyDescent="0.3">
      <c r="A72" s="261" t="s">
        <v>205</v>
      </c>
      <c r="B72" s="261"/>
      <c r="C72" s="261"/>
      <c r="D72" s="261"/>
      <c r="E72" s="27"/>
    </row>
    <row r="73" spans="1:5" s="9" customFormat="1" ht="27" customHeight="1" x14ac:dyDescent="0.3">
      <c r="A73" s="324" t="s">
        <v>31</v>
      </c>
      <c r="B73" s="324"/>
      <c r="C73" s="324"/>
      <c r="D73" s="324"/>
      <c r="E73" s="58"/>
    </row>
    <row r="74" spans="1:5" s="9" customFormat="1" ht="18" customHeight="1" x14ac:dyDescent="0.3">
      <c r="A74" s="261" t="s">
        <v>29</v>
      </c>
      <c r="B74" s="261"/>
      <c r="C74" s="261"/>
      <c r="D74" s="261"/>
      <c r="E74" s="27"/>
    </row>
    <row r="75" spans="1:5" s="9" customFormat="1" ht="27" customHeight="1" x14ac:dyDescent="0.3">
      <c r="A75" s="324" t="s">
        <v>30</v>
      </c>
      <c r="B75" s="324"/>
      <c r="C75" s="324"/>
      <c r="D75" s="324"/>
      <c r="E75" s="58"/>
    </row>
    <row r="76" spans="1:5" s="9" customFormat="1" ht="67.5" customHeight="1" x14ac:dyDescent="0.3">
      <c r="A76" s="261" t="s">
        <v>150</v>
      </c>
      <c r="B76" s="261"/>
      <c r="C76" s="261"/>
      <c r="D76" s="261"/>
      <c r="E76" s="27"/>
    </row>
    <row r="77" spans="1:5" s="9" customFormat="1" ht="30.75" customHeight="1" x14ac:dyDescent="0.3">
      <c r="A77" s="323" t="s">
        <v>208</v>
      </c>
      <c r="B77" s="323"/>
      <c r="C77" s="323"/>
      <c r="D77" s="323"/>
      <c r="E77" s="26"/>
    </row>
    <row r="78" spans="1:5" s="9" customFormat="1" ht="36.75" customHeight="1" x14ac:dyDescent="0.3">
      <c r="A78" s="80" t="s">
        <v>34</v>
      </c>
      <c r="B78" s="92">
        <f>B33</f>
        <v>8378.6666662400003</v>
      </c>
      <c r="C78" s="93" t="str">
        <f>IF(B78&gt;21510,"Bruttolohn liegt über dem Grenzwert.","Bruttolohn liegt unter dem Grenzwert.")</f>
        <v>Bruttolohn liegt unter dem Grenzwert.</v>
      </c>
      <c r="D78" s="83"/>
      <c r="E78" s="58"/>
    </row>
    <row r="79" spans="1:5" s="9" customFormat="1" ht="36" customHeight="1" x14ac:dyDescent="0.3">
      <c r="A79" s="80" t="s">
        <v>96</v>
      </c>
      <c r="B79" s="176">
        <v>0</v>
      </c>
      <c r="C79" s="91" t="s">
        <v>37</v>
      </c>
      <c r="D79" s="86" t="str">
        <f>IF(OR(AND(B79&lt;&gt;1,B79&lt;&gt;0),B79=""),"Fehler: Eingabe muss 1 oder 0 sein.","")</f>
        <v/>
      </c>
      <c r="E79" s="58"/>
    </row>
    <row r="80" spans="1:5" s="9" customFormat="1" ht="46.5" customHeight="1" x14ac:dyDescent="0.3">
      <c r="A80" s="80" t="str">
        <f>IF(OR(B78&gt;21510,B79=1),"Geben Sie das Alter der/des betreuenden Angehörigen ein:","Das Einkommen wird nicht versichert, die Alterseingabe ist daher nicht nötig (irrelevant):")</f>
        <v>Das Einkommen wird nicht versichert, die Alterseingabe ist daher nicht nötig (irrelevant):</v>
      </c>
      <c r="B80" s="11">
        <v>29</v>
      </c>
      <c r="C80" s="91" t="s">
        <v>146</v>
      </c>
      <c r="D80" s="173" t="str">
        <f>IF(OR(B78&gt;21510,B79=1),IF(OR(B80&lt;25,B80&gt;64),"Fehler: Eingabe muss zwischen 25 und unter 64 (Frauen) bzw. 65 (Männer) sein.",""),"")</f>
        <v/>
      </c>
      <c r="E80" s="58"/>
    </row>
    <row r="81" spans="1:5" s="9" customFormat="1" ht="18.75" customHeight="1" x14ac:dyDescent="0.3">
      <c r="A81" s="80" t="s">
        <v>36</v>
      </c>
      <c r="B81" s="175" t="str">
        <f>IF(AND(OR(B78&gt;21510,B79=1),B80&gt;64),"Fehler: Alter liegt über Pensionsalter.",IF(OR(B78&gt;21510,B79=1),IF(B80&lt;35,0.07,IF(B80&lt;45,0.1,IF(B80&lt;55,0.15,0.18))),"0"))</f>
        <v>0</v>
      </c>
      <c r="C81" s="82"/>
      <c r="D81" s="83"/>
      <c r="E81" s="58"/>
    </row>
    <row r="82" spans="1:5" s="10" customFormat="1" ht="18" customHeight="1" x14ac:dyDescent="0.3">
      <c r="A82" s="80" t="s">
        <v>149</v>
      </c>
      <c r="B82" s="177">
        <f>B29*B81</f>
        <v>0</v>
      </c>
      <c r="C82" s="82" t="s">
        <v>131</v>
      </c>
      <c r="D82" s="83"/>
      <c r="E82" s="101"/>
    </row>
    <row r="83" spans="1:5" s="9" customFormat="1" ht="30.75" customHeight="1" x14ac:dyDescent="0.3">
      <c r="A83" s="323" t="s">
        <v>195</v>
      </c>
      <c r="B83" s="323"/>
      <c r="C83" s="323"/>
      <c r="D83" s="323"/>
      <c r="E83" s="26"/>
    </row>
    <row r="84" spans="1:5" s="9" customFormat="1" ht="36.75" customHeight="1" x14ac:dyDescent="0.3">
      <c r="A84" s="80" t="s">
        <v>34</v>
      </c>
      <c r="B84" s="92">
        <f>B42</f>
        <v>72989</v>
      </c>
      <c r="C84" s="93" t="str">
        <f>IF(B84&gt;21510,"Bruttolohn liegt über dem Grenzwert.","Bruttolohn liegt unter dem Grenzwert.")</f>
        <v>Bruttolohn liegt über dem Grenzwert.</v>
      </c>
      <c r="D84" s="83"/>
      <c r="E84" s="58"/>
    </row>
    <row r="85" spans="1:5" s="9" customFormat="1" ht="36" customHeight="1" x14ac:dyDescent="0.3">
      <c r="A85" s="80" t="s">
        <v>96</v>
      </c>
      <c r="B85" s="176">
        <v>1</v>
      </c>
      <c r="C85" s="91" t="s">
        <v>37</v>
      </c>
      <c r="D85" s="86" t="str">
        <f>IF(OR(AND(B85&lt;&gt;1,B85&lt;&gt;0),B85=""),"Fehler: Eingabe muss 1 oder 0 sein.","")</f>
        <v/>
      </c>
      <c r="E85" s="58"/>
    </row>
    <row r="86" spans="1:5" s="9" customFormat="1" ht="46.5" customHeight="1" x14ac:dyDescent="0.3">
      <c r="A86" s="80" t="str">
        <f>IF(OR(B84&gt;21510,B85=1),"Geben Sie das Alter der qualifizierten Pflegefachkraft ein:","Das Einkommen wird nicht versichert, die Alterseingabe ist daher nicht nötig (irrelevant):")</f>
        <v>Geben Sie das Alter der qualifizierten Pflegefachkraft ein:</v>
      </c>
      <c r="B86" s="11">
        <v>29</v>
      </c>
      <c r="C86" s="91" t="s">
        <v>146</v>
      </c>
      <c r="D86" s="173" t="str">
        <f>IF(OR(B84&gt;21510,B85=1),IF(OR(B86&lt;25,B86&gt;64),"Fehler: Eingabe muss zwischen 25 und unter 64 (Frauen) bzw. 65 (Männer) sein.",""),"")</f>
        <v/>
      </c>
      <c r="E86" s="58"/>
    </row>
    <row r="87" spans="1:5" s="9" customFormat="1" ht="18.75" customHeight="1" x14ac:dyDescent="0.3">
      <c r="A87" s="80" t="s">
        <v>36</v>
      </c>
      <c r="B87" s="175">
        <f>IF(AND(OR(B84&gt;21510,B85=1),B86&gt;64),"Fehler: Alter liegt über Pensionsalter.",IF(OR(B84&gt;21510,B85=1),IF(B86&lt;35,0.07,IF(B86&lt;45,0.1,IF(B86&lt;55,0.15,0.18))),"0"))</f>
        <v>7.0000000000000007E-2</v>
      </c>
      <c r="C87" s="82"/>
      <c r="D87" s="83"/>
      <c r="E87" s="58"/>
    </row>
    <row r="88" spans="1:5" s="10" customFormat="1" ht="18" customHeight="1" x14ac:dyDescent="0.3">
      <c r="A88" s="80" t="s">
        <v>149</v>
      </c>
      <c r="B88" s="177">
        <f>B41*B87</f>
        <v>2.4329666666666672</v>
      </c>
      <c r="C88" s="82" t="s">
        <v>131</v>
      </c>
      <c r="D88" s="83"/>
      <c r="E88" s="101"/>
    </row>
    <row r="89" spans="1:5" s="9" customFormat="1" ht="13.5" customHeight="1" x14ac:dyDescent="0.3">
      <c r="A89" s="80"/>
      <c r="B89" s="94"/>
      <c r="C89" s="82"/>
      <c r="D89" s="83"/>
      <c r="E89" s="174"/>
    </row>
    <row r="90" spans="1:5" s="9" customFormat="1" ht="15" customHeight="1" x14ac:dyDescent="0.3">
      <c r="A90" s="286"/>
      <c r="B90" s="286"/>
      <c r="C90" s="286"/>
      <c r="D90" s="286"/>
      <c r="E90" s="35"/>
    </row>
    <row r="91" spans="1:5" s="9" customFormat="1" ht="11.25" customHeight="1" x14ac:dyDescent="0.3">
      <c r="A91" s="296"/>
      <c r="B91" s="296"/>
      <c r="C91" s="296"/>
      <c r="D91" s="296"/>
      <c r="E91" s="27"/>
    </row>
    <row r="92" spans="1:5" s="9" customFormat="1" ht="22.5" customHeight="1" x14ac:dyDescent="0.3">
      <c r="A92" s="40" t="s">
        <v>219</v>
      </c>
      <c r="B92" s="41"/>
      <c r="C92" s="41"/>
      <c r="D92" s="41"/>
      <c r="E92" s="26"/>
    </row>
    <row r="93" spans="1:5" s="9" customFormat="1" ht="36.75" customHeight="1" x14ac:dyDescent="0.3">
      <c r="A93" s="179" t="s">
        <v>220</v>
      </c>
      <c r="B93" s="176">
        <v>4</v>
      </c>
      <c r="C93" s="180" t="s">
        <v>165</v>
      </c>
      <c r="D93" s="181" t="str">
        <f>IF(B93="","Fehler: Bitte Wert eingeben.","")</f>
        <v/>
      </c>
      <c r="E93" s="26"/>
    </row>
    <row r="94" spans="1:5" s="9" customFormat="1" ht="18" customHeight="1" x14ac:dyDescent="0.3">
      <c r="A94" s="179"/>
      <c r="B94" s="180"/>
      <c r="C94" s="180"/>
      <c r="D94" s="181"/>
      <c r="E94" s="26"/>
    </row>
    <row r="95" spans="1:5" s="9" customFormat="1" ht="36" customHeight="1" x14ac:dyDescent="0.3">
      <c r="A95" s="179" t="s">
        <v>166</v>
      </c>
      <c r="B95" s="176">
        <v>0</v>
      </c>
      <c r="C95" s="193" t="s">
        <v>37</v>
      </c>
      <c r="D95" s="181" t="str">
        <f>IF(OR(AND(B95&lt;&gt;1,B95&lt;&gt;0),B95=""),"Fehler: Eingabe muss 1 oder 0 sein.","")</f>
        <v/>
      </c>
      <c r="E95" s="58"/>
    </row>
    <row r="96" spans="1:5" s="9" customFormat="1" ht="54.75" customHeight="1" x14ac:dyDescent="0.3">
      <c r="A96" s="179" t="str">
        <f>IF(B95=1,"An wie vielen Tagen pro Woche wird der betreuende Angehörige die/den Patientin/Patienten für die Grundpflege (KLV Art. 7 Abs. 2 Ziffer c) besuchen?","Dieses Feld müssen Sie nicht beantworten (irrelevant):")</f>
        <v>Dieses Feld müssen Sie nicht beantworten (irrelevant):</v>
      </c>
      <c r="B96" s="176">
        <v>4</v>
      </c>
      <c r="C96" s="180" t="s">
        <v>165</v>
      </c>
      <c r="D96" s="181" t="str">
        <f>IF(B95=1,IF(B96="","Fehler: Bitte Wert eingeben.",""),"")</f>
        <v/>
      </c>
      <c r="E96" s="58"/>
    </row>
    <row r="97" spans="1:5" s="9" customFormat="1" ht="18" customHeight="1" x14ac:dyDescent="0.3">
      <c r="A97" s="179"/>
      <c r="B97" s="180"/>
      <c r="C97" s="180"/>
      <c r="D97" s="181"/>
      <c r="E97" s="58"/>
    </row>
    <row r="98" spans="1:5" s="9" customFormat="1" ht="54.75" customHeight="1" x14ac:dyDescent="0.3">
      <c r="A98" s="179" t="s">
        <v>196</v>
      </c>
      <c r="B98" s="176">
        <v>1</v>
      </c>
      <c r="C98" s="193" t="s">
        <v>37</v>
      </c>
      <c r="D98" s="181" t="str">
        <f>IF(OR(AND(B98&lt;&gt;1,B98&lt;&gt;0),B98=""),"Fehler: Eingabe muss 1 oder 0 sein.","")</f>
        <v/>
      </c>
      <c r="E98" s="58"/>
    </row>
    <row r="99" spans="1:5" s="9" customFormat="1" ht="54.75" customHeight="1" x14ac:dyDescent="0.3">
      <c r="A99" s="179" t="str">
        <f>IF(B98=1,"An wie vielen Tagen pro Woche wird weiterhin eine qualifizierte Pflegefachkraft
Ihres Betriebs den betreffenden Haushalt besuchen?","Dieses Feld müssen Sie nicht beantworten (irrelevant):")</f>
        <v>An wie vielen Tagen pro Woche wird weiterhin eine qualifizierte Pflegefachkraft
Ihres Betriebs den betreffenden Haushalt besuchen?</v>
      </c>
      <c r="B99" s="176">
        <v>2</v>
      </c>
      <c r="C99" s="193" t="s">
        <v>165</v>
      </c>
      <c r="D99" s="181" t="str">
        <f>IF(B98=1,IF(B99="","Fehler: Bitte Wert eingeben.",""),"")</f>
        <v/>
      </c>
      <c r="E99" s="58"/>
    </row>
    <row r="100" spans="1:5" s="9" customFormat="1" ht="59.25" customHeight="1" x14ac:dyDescent="0.3">
      <c r="A100" s="179" t="s">
        <v>172</v>
      </c>
      <c r="B100" s="191">
        <f>IF(AND(OR(B95=0,B95=1),OR(B98=0,B98=1)),B95*B96+B98*B99-B93,"Eingabefehler")</f>
        <v>-2</v>
      </c>
      <c r="C100" s="182" t="s">
        <v>167</v>
      </c>
      <c r="D100" s="192"/>
      <c r="E100" s="58"/>
    </row>
    <row r="101" spans="1:5" s="9" customFormat="1" ht="36.75" customHeight="1" x14ac:dyDescent="0.3">
      <c r="A101" s="179" t="s">
        <v>190</v>
      </c>
      <c r="B101" s="176">
        <v>1</v>
      </c>
      <c r="C101" s="193" t="s">
        <v>37</v>
      </c>
      <c r="D101" s="181" t="str">
        <f>IF(OR(AND(B101&lt;&gt;1,B101&lt;&gt;0),B101=""),"Fehler: Eingabe muss 1 oder 0 sein.","")</f>
        <v/>
      </c>
      <c r="E101" s="58"/>
    </row>
    <row r="102" spans="1:5" s="9" customFormat="1" ht="36.75" customHeight="1" x14ac:dyDescent="0.3">
      <c r="A102" s="179" t="str">
        <f>IF(B101=1,"Wie hoch ist die vergütete Wegpauschale pro Tag und Haushalt an, die Sie
insgesamt erhalten (von Kanton/Gemeinde und ggf. Patient*in zusammen):","Dieses Feld müssen Sie nicht beantworten (irrelevant):")</f>
        <v>Wie hoch ist die vergütete Wegpauschale pro Tag und Haushalt an, die Sie
insgesamt erhalten (von Kanton/Gemeinde und ggf. Patient*in zusammen):</v>
      </c>
      <c r="B102" s="11">
        <v>12</v>
      </c>
      <c r="C102" s="182" t="s">
        <v>152</v>
      </c>
      <c r="D102" s="181" t="str">
        <f>IF(B101=1,IF(B102="","Fehler: Bitte Wert eingeben.",""),"")</f>
        <v/>
      </c>
      <c r="E102" s="58"/>
    </row>
    <row r="103" spans="1:5" s="9" customFormat="1" ht="14.25" customHeight="1" x14ac:dyDescent="0.3">
      <c r="A103" s="179" t="str">
        <f>IF(AND(B95=1,B98=0,B101=1),"Resultat:","")</f>
        <v/>
      </c>
      <c r="B103" s="322" t="str">
        <f>IF(AND(B95=1,B98=0,B101=1),"Aufgrund der Anstellung der/des betreuenden Angehörigen entfällt die Wegpauschale für den betreffenden Haushalt.","")</f>
        <v/>
      </c>
      <c r="C103" s="322"/>
      <c r="D103" s="322"/>
      <c r="E103" s="174"/>
    </row>
    <row r="104" spans="1:5" s="4" customFormat="1" x14ac:dyDescent="0.3">
      <c r="A104" s="311"/>
      <c r="B104" s="311"/>
      <c r="C104" s="311"/>
      <c r="D104" s="311"/>
      <c r="E104" s="42"/>
    </row>
    <row r="105" spans="1:5" s="4" customFormat="1" ht="11.25" customHeight="1" x14ac:dyDescent="0.3">
      <c r="A105" s="298"/>
      <c r="B105" s="298"/>
      <c r="C105" s="298"/>
      <c r="D105" s="298"/>
      <c r="E105" s="42"/>
    </row>
    <row r="106" spans="1:5" s="9" customFormat="1" ht="31.5" customHeight="1" x14ac:dyDescent="0.3">
      <c r="A106" s="43" t="s">
        <v>153</v>
      </c>
      <c r="B106" s="44"/>
      <c r="C106" s="44"/>
      <c r="D106" s="44"/>
      <c r="E106" s="45"/>
    </row>
    <row r="107" spans="1:5" s="9" customFormat="1" ht="27" customHeight="1" x14ac:dyDescent="0.3">
      <c r="A107" s="232" t="s">
        <v>189</v>
      </c>
      <c r="B107" s="44"/>
      <c r="C107" s="44"/>
      <c r="D107" s="44"/>
      <c r="E107" s="45"/>
    </row>
    <row r="108" spans="1:5" s="9" customFormat="1" ht="30" customHeight="1" x14ac:dyDescent="0.3">
      <c r="A108" s="200" t="s">
        <v>90</v>
      </c>
      <c r="B108" s="201" t="s">
        <v>168</v>
      </c>
      <c r="C108" s="48" t="s">
        <v>181</v>
      </c>
      <c r="D108" s="49" t="s">
        <v>182</v>
      </c>
      <c r="E108" s="26"/>
    </row>
    <row r="109" spans="1:5" s="10" customFormat="1" ht="9" customHeight="1" x14ac:dyDescent="0.3">
      <c r="A109" s="50"/>
      <c r="B109" s="213"/>
      <c r="C109" s="214"/>
      <c r="D109" s="214"/>
      <c r="E109" s="32"/>
    </row>
    <row r="110" spans="1:5" s="10" customFormat="1" ht="18" customHeight="1" x14ac:dyDescent="0.3">
      <c r="A110" s="53" t="s">
        <v>183</v>
      </c>
      <c r="B110" s="158"/>
      <c r="C110" s="215"/>
      <c r="D110" s="215"/>
      <c r="E110" s="32"/>
    </row>
    <row r="111" spans="1:5" s="10" customFormat="1" ht="18" customHeight="1" x14ac:dyDescent="0.3">
      <c r="A111" s="136" t="s">
        <v>162</v>
      </c>
      <c r="B111" s="138">
        <f>C111-D111</f>
        <v>-300</v>
      </c>
      <c r="C111" s="134">
        <f>B17</f>
        <v>500</v>
      </c>
      <c r="D111" s="134">
        <f>B21</f>
        <v>800</v>
      </c>
      <c r="E111" s="32"/>
    </row>
    <row r="112" spans="1:5" s="10" customFormat="1" ht="18" customHeight="1" x14ac:dyDescent="0.3">
      <c r="A112" s="136" t="s">
        <v>161</v>
      </c>
      <c r="B112" s="138">
        <f t="shared" ref="B112:B135" si="0">C112-D112</f>
        <v>-300</v>
      </c>
      <c r="C112" s="134">
        <f>B18</f>
        <v>400</v>
      </c>
      <c r="D112" s="134">
        <f>B22</f>
        <v>700</v>
      </c>
      <c r="E112" s="32"/>
    </row>
    <row r="113" spans="1:5" s="10" customFormat="1" ht="9" customHeight="1" x14ac:dyDescent="0.3">
      <c r="A113" s="136"/>
      <c r="B113" s="202"/>
      <c r="C113" s="134"/>
      <c r="D113" s="134"/>
      <c r="E113" s="32"/>
    </row>
    <row r="114" spans="1:5" s="10" customFormat="1" ht="18" customHeight="1" x14ac:dyDescent="0.3">
      <c r="A114" s="53" t="s">
        <v>184</v>
      </c>
      <c r="B114" s="202"/>
      <c r="C114" s="158"/>
      <c r="D114" s="158"/>
      <c r="E114" s="32"/>
    </row>
    <row r="115" spans="1:5" s="10" customFormat="1" ht="18" customHeight="1" x14ac:dyDescent="0.3">
      <c r="A115" s="136" t="s">
        <v>163</v>
      </c>
      <c r="B115" s="203">
        <f t="shared" si="0"/>
        <v>-14.615641026666669</v>
      </c>
      <c r="C115" s="215">
        <f>B29</f>
        <v>20.141025639999999</v>
      </c>
      <c r="D115" s="215">
        <f>B41</f>
        <v>34.756666666666668</v>
      </c>
      <c r="E115" s="32"/>
    </row>
    <row r="116" spans="1:5" s="10" customFormat="1" ht="18" customHeight="1" x14ac:dyDescent="0.3">
      <c r="A116" s="136" t="s">
        <v>191</v>
      </c>
      <c r="B116" s="203"/>
      <c r="C116" s="158"/>
      <c r="D116" s="158"/>
      <c r="E116" s="32"/>
    </row>
    <row r="117" spans="1:5" s="10" customFormat="1" ht="18" customHeight="1" x14ac:dyDescent="0.3">
      <c r="A117" s="207" t="s">
        <v>154</v>
      </c>
      <c r="B117" s="208">
        <f t="shared" si="0"/>
        <v>-0.77462897441333345</v>
      </c>
      <c r="C117" s="216">
        <f>B49</f>
        <v>1.06747435892</v>
      </c>
      <c r="D117" s="216">
        <f>B59</f>
        <v>1.8421033333333334</v>
      </c>
      <c r="E117" s="32"/>
    </row>
    <row r="118" spans="1:5" s="10" customFormat="1" ht="18" customHeight="1" x14ac:dyDescent="0.3">
      <c r="A118" s="207" t="s">
        <v>155</v>
      </c>
      <c r="B118" s="208">
        <f t="shared" si="0"/>
        <v>-0.16077205129333338</v>
      </c>
      <c r="C118" s="216">
        <f>B50</f>
        <v>0.22155128203999996</v>
      </c>
      <c r="D118" s="216">
        <f>B60</f>
        <v>0.38232333333333335</v>
      </c>
      <c r="E118" s="32"/>
    </row>
    <row r="119" spans="1:5" s="10" customFormat="1" ht="18" customHeight="1" x14ac:dyDescent="0.3">
      <c r="A119" s="207" t="s">
        <v>156</v>
      </c>
      <c r="B119" s="208">
        <f t="shared" si="0"/>
        <v>-0.21923461540000011</v>
      </c>
      <c r="C119" s="216">
        <f>B53</f>
        <v>0.30211538459999998</v>
      </c>
      <c r="D119" s="216">
        <f>B63</f>
        <v>0.52135000000000009</v>
      </c>
      <c r="E119" s="32"/>
    </row>
    <row r="120" spans="1:5" s="10" customFormat="1" ht="18" customHeight="1" x14ac:dyDescent="0.3">
      <c r="A120" s="207" t="s">
        <v>157</v>
      </c>
      <c r="B120" s="208">
        <f t="shared" si="0"/>
        <v>-0.1461564102666667</v>
      </c>
      <c r="C120" s="216">
        <f>B57</f>
        <v>0.20141025639999999</v>
      </c>
      <c r="D120" s="216">
        <f>B67</f>
        <v>0.34756666666666669</v>
      </c>
      <c r="E120" s="32"/>
    </row>
    <row r="121" spans="1:5" s="10" customFormat="1" ht="18" customHeight="1" x14ac:dyDescent="0.3">
      <c r="A121" s="136" t="s">
        <v>175</v>
      </c>
      <c r="B121" s="203">
        <f t="shared" si="0"/>
        <v>-2.4329666666666672</v>
      </c>
      <c r="C121" s="215">
        <f>B82</f>
        <v>0</v>
      </c>
      <c r="D121" s="215">
        <f>B88</f>
        <v>2.4329666666666672</v>
      </c>
      <c r="E121" s="32"/>
    </row>
    <row r="122" spans="1:5" s="10" customFormat="1" ht="18" customHeight="1" x14ac:dyDescent="0.3">
      <c r="A122" s="204" t="s">
        <v>160</v>
      </c>
      <c r="B122" s="205">
        <f>C122-D122</f>
        <v>-18.349399744706666</v>
      </c>
      <c r="C122" s="217">
        <f>SUM(C115:C121)</f>
        <v>21.933576921959997</v>
      </c>
      <c r="D122" s="217">
        <f>SUM(D115:D121)</f>
        <v>40.282976666666663</v>
      </c>
      <c r="E122" s="32"/>
    </row>
    <row r="123" spans="1:5" s="10" customFormat="1" ht="9" customHeight="1" x14ac:dyDescent="0.3">
      <c r="A123" s="233"/>
      <c r="B123" s="234"/>
      <c r="C123" s="235"/>
      <c r="D123" s="235"/>
      <c r="E123" s="32"/>
    </row>
    <row r="124" spans="1:5" s="10" customFormat="1" ht="22.5" customHeight="1" x14ac:dyDescent="0.3">
      <c r="A124" s="236"/>
      <c r="B124" s="237"/>
      <c r="C124" s="238"/>
      <c r="D124" s="239"/>
      <c r="E124" s="32"/>
    </row>
    <row r="125" spans="1:5" s="9" customFormat="1" ht="27" customHeight="1" x14ac:dyDescent="0.3">
      <c r="A125" s="240" t="s">
        <v>213</v>
      </c>
      <c r="B125" s="241"/>
      <c r="C125" s="241"/>
      <c r="D125" s="242"/>
      <c r="E125" s="45"/>
    </row>
    <row r="126" spans="1:5" s="10" customFormat="1" ht="27" customHeight="1" x14ac:dyDescent="0.3">
      <c r="A126" s="228" t="s">
        <v>187</v>
      </c>
      <c r="B126" s="229">
        <v>8</v>
      </c>
      <c r="C126" s="230" t="s">
        <v>130</v>
      </c>
      <c r="D126" s="231"/>
      <c r="E126" s="32"/>
    </row>
    <row r="127" spans="1:5" s="9" customFormat="1" ht="30" customHeight="1" x14ac:dyDescent="0.3">
      <c r="A127" s="200" t="s">
        <v>90</v>
      </c>
      <c r="B127" s="201" t="s">
        <v>168</v>
      </c>
      <c r="C127" s="48" t="s">
        <v>181</v>
      </c>
      <c r="D127" s="49" t="s">
        <v>182</v>
      </c>
      <c r="E127" s="26"/>
    </row>
    <row r="128" spans="1:5" s="10" customFormat="1" ht="9" customHeight="1" x14ac:dyDescent="0.3">
      <c r="A128" s="136"/>
      <c r="B128" s="202"/>
      <c r="C128" s="215"/>
      <c r="D128" s="215"/>
      <c r="E128" s="32"/>
    </row>
    <row r="129" spans="1:5" s="10" customFormat="1" ht="18" customHeight="1" x14ac:dyDescent="0.3">
      <c r="A129" s="53" t="s">
        <v>164</v>
      </c>
      <c r="B129" s="202"/>
      <c r="C129" s="158"/>
      <c r="D129" s="158"/>
      <c r="E129" s="32"/>
    </row>
    <row r="130" spans="1:5" s="10" customFormat="1" ht="18" customHeight="1" x14ac:dyDescent="0.3">
      <c r="A130" s="136" t="s">
        <v>163</v>
      </c>
      <c r="B130" s="138">
        <f t="shared" si="0"/>
        <v>-508.06752140317474</v>
      </c>
      <c r="C130" s="134">
        <f>C115*$B$126*(365/7/12)</f>
        <v>700.14041510476193</v>
      </c>
      <c r="D130" s="134">
        <f>D115*$B$126*(365/7/12)</f>
        <v>1208.2079365079367</v>
      </c>
      <c r="E130" s="32"/>
    </row>
    <row r="131" spans="1:5" s="10" customFormat="1" ht="18" customHeight="1" x14ac:dyDescent="0.3">
      <c r="A131" s="136" t="s">
        <v>191</v>
      </c>
      <c r="B131" s="138">
        <f t="shared" si="0"/>
        <v>0</v>
      </c>
      <c r="C131" s="134"/>
      <c r="D131" s="134"/>
      <c r="E131" s="32"/>
    </row>
    <row r="132" spans="1:5" s="10" customFormat="1" ht="18" customHeight="1" x14ac:dyDescent="0.3">
      <c r="A132" s="207" t="s">
        <v>154</v>
      </c>
      <c r="B132" s="211">
        <f t="shared" si="0"/>
        <v>-26.92757863436826</v>
      </c>
      <c r="C132" s="218">
        <f t="shared" ref="C132:D136" si="1">C117*$B$126*(365/7/12)</f>
        <v>37.107442000552382</v>
      </c>
      <c r="D132" s="218">
        <f t="shared" si="1"/>
        <v>64.035020634920642</v>
      </c>
      <c r="E132" s="32"/>
    </row>
    <row r="133" spans="1:5" s="10" customFormat="1" ht="18" customHeight="1" x14ac:dyDescent="0.3">
      <c r="A133" s="207" t="s">
        <v>155</v>
      </c>
      <c r="B133" s="211">
        <f t="shared" si="0"/>
        <v>-5.5887427354349235</v>
      </c>
      <c r="C133" s="218">
        <f t="shared" si="1"/>
        <v>7.7015445661523803</v>
      </c>
      <c r="D133" s="218">
        <f t="shared" si="1"/>
        <v>13.290287301587304</v>
      </c>
      <c r="E133" s="32"/>
    </row>
    <row r="134" spans="1:5" s="10" customFormat="1" ht="18" customHeight="1" x14ac:dyDescent="0.3">
      <c r="A134" s="207" t="s">
        <v>156</v>
      </c>
      <c r="B134" s="211">
        <f t="shared" si="0"/>
        <v>-7.6210128210476231</v>
      </c>
      <c r="C134" s="218">
        <f t="shared" si="1"/>
        <v>10.50210622657143</v>
      </c>
      <c r="D134" s="218">
        <f t="shared" si="1"/>
        <v>18.123119047619053</v>
      </c>
      <c r="E134" s="32"/>
    </row>
    <row r="135" spans="1:5" s="10" customFormat="1" ht="18" customHeight="1" x14ac:dyDescent="0.3">
      <c r="A135" s="207" t="s">
        <v>157</v>
      </c>
      <c r="B135" s="211">
        <f t="shared" si="0"/>
        <v>-5.0806752140317482</v>
      </c>
      <c r="C135" s="218">
        <f t="shared" si="1"/>
        <v>7.0014041510476197</v>
      </c>
      <c r="D135" s="218">
        <f t="shared" si="1"/>
        <v>12.082079365079368</v>
      </c>
      <c r="E135" s="32"/>
    </row>
    <row r="136" spans="1:5" s="10" customFormat="1" ht="18" customHeight="1" x14ac:dyDescent="0.3">
      <c r="A136" s="136" t="s">
        <v>175</v>
      </c>
      <c r="B136" s="138">
        <f>C136-D136</f>
        <v>-84.574555555555577</v>
      </c>
      <c r="C136" s="134">
        <f t="shared" si="1"/>
        <v>0</v>
      </c>
      <c r="D136" s="134">
        <f t="shared" si="1"/>
        <v>84.574555555555577</v>
      </c>
      <c r="E136" s="32"/>
    </row>
    <row r="137" spans="1:5" s="10" customFormat="1" ht="18" customHeight="1" x14ac:dyDescent="0.3">
      <c r="A137" s="204" t="s">
        <v>160</v>
      </c>
      <c r="B137" s="206">
        <f>C137-D137</f>
        <v>-637.86008636361282</v>
      </c>
      <c r="C137" s="219">
        <f>SUM(C130:C136)</f>
        <v>762.45291204908574</v>
      </c>
      <c r="D137" s="219">
        <f>SUM(D130:D136)</f>
        <v>1400.3129984126986</v>
      </c>
      <c r="E137" s="32"/>
    </row>
    <row r="138" spans="1:5" s="10" customFormat="1" ht="9" customHeight="1" x14ac:dyDescent="0.3">
      <c r="A138" s="136"/>
      <c r="B138" s="202"/>
      <c r="C138" s="215"/>
      <c r="D138" s="215"/>
      <c r="E138" s="32"/>
    </row>
    <row r="139" spans="1:5" s="10" customFormat="1" ht="18" customHeight="1" x14ac:dyDescent="0.3">
      <c r="A139" s="53" t="s">
        <v>173</v>
      </c>
      <c r="B139" s="158"/>
      <c r="C139" s="220"/>
      <c r="D139" s="134"/>
      <c r="E139" s="32"/>
    </row>
    <row r="140" spans="1:5" s="10" customFormat="1" ht="18" customHeight="1" x14ac:dyDescent="0.3">
      <c r="A140" s="136" t="s">
        <v>174</v>
      </c>
      <c r="B140" s="158"/>
      <c r="C140" s="220"/>
      <c r="D140" s="134"/>
      <c r="E140" s="32"/>
    </row>
    <row r="141" spans="1:5" s="10" customFormat="1" ht="18" customHeight="1" x14ac:dyDescent="0.3">
      <c r="A141" s="209" t="s">
        <v>169</v>
      </c>
      <c r="B141" s="210"/>
      <c r="C141" s="221" t="s">
        <v>171</v>
      </c>
      <c r="D141" s="222">
        <f>B93*(365/7/12)</f>
        <v>17.380952380952383</v>
      </c>
      <c r="E141" s="32"/>
    </row>
    <row r="142" spans="1:5" s="10" customFormat="1" ht="18" customHeight="1" x14ac:dyDescent="0.3">
      <c r="A142" s="209" t="s">
        <v>170</v>
      </c>
      <c r="B142" s="210"/>
      <c r="C142" s="222">
        <f>IF(OR(B95=0,B95=1),B95*B96*(365/7/12),"")</f>
        <v>0</v>
      </c>
      <c r="D142" s="222">
        <f>IF(OR(B98=0,B98=1),B98*B99*(365/7/12),"")</f>
        <v>8.6904761904761916</v>
      </c>
      <c r="E142" s="32"/>
    </row>
    <row r="143" spans="1:5" s="10" customFormat="1" ht="18" customHeight="1" x14ac:dyDescent="0.3">
      <c r="A143" s="209" t="s">
        <v>185</v>
      </c>
      <c r="B143" s="223">
        <f>C142+D142-D141</f>
        <v>-8.6904761904761916</v>
      </c>
      <c r="C143" s="224"/>
      <c r="D143" s="224"/>
      <c r="E143" s="32"/>
    </row>
    <row r="144" spans="1:5" s="10" customFormat="1" ht="18" customHeight="1" x14ac:dyDescent="0.3">
      <c r="A144" s="136" t="s">
        <v>188</v>
      </c>
      <c r="B144" s="158"/>
      <c r="C144" s="220"/>
      <c r="D144" s="134"/>
      <c r="E144" s="32"/>
    </row>
    <row r="145" spans="1:5" s="10" customFormat="1" ht="18" customHeight="1" x14ac:dyDescent="0.3">
      <c r="A145" s="209" t="s">
        <v>169</v>
      </c>
      <c r="B145" s="224"/>
      <c r="C145" s="221" t="s">
        <v>171</v>
      </c>
      <c r="D145" s="225">
        <f>IF(OR(B101=0,B101=1),D141*B101*B102,"")</f>
        <v>208.57142857142861</v>
      </c>
      <c r="E145" s="32"/>
    </row>
    <row r="146" spans="1:5" s="10" customFormat="1" ht="18" customHeight="1" x14ac:dyDescent="0.3">
      <c r="A146" s="209" t="s">
        <v>170</v>
      </c>
      <c r="B146" s="224"/>
      <c r="C146" s="227">
        <f>IF(OR(B101=0,B101=1),C142*B101*B102,"")</f>
        <v>0</v>
      </c>
      <c r="D146" s="225">
        <f>IF(OR(B101=0,B101=1),D142*B101*B102,"")</f>
        <v>104.28571428571431</v>
      </c>
      <c r="E146" s="32"/>
    </row>
    <row r="147" spans="1:5" s="10" customFormat="1" ht="18" customHeight="1" x14ac:dyDescent="0.3">
      <c r="A147" s="243" t="s">
        <v>185</v>
      </c>
      <c r="B147" s="244">
        <f>C146+D146-D145</f>
        <v>-104.28571428571431</v>
      </c>
      <c r="C147" s="226"/>
      <c r="D147" s="225"/>
      <c r="E147" s="32"/>
    </row>
    <row r="148" spans="1:5" s="10" customFormat="1" ht="9" customHeight="1" x14ac:dyDescent="0.3">
      <c r="A148" s="243"/>
      <c r="B148" s="249">
        <f>B137-B147</f>
        <v>-533.57437207789849</v>
      </c>
      <c r="C148" s="226"/>
      <c r="D148" s="225"/>
      <c r="E148" s="32"/>
    </row>
    <row r="149" spans="1:5" s="10" customFormat="1" ht="45" customHeight="1" x14ac:dyDescent="0.3">
      <c r="A149" s="245" t="str">
        <f>IF(AND(B148&lt;0,B148&lt;&gt;""),"Resultat: Die Aufwände nach Verrechnung allfälliger Wegvergütungen (netto) sinken pro Monat um:",IF(AND(B148&gt;0,B148&lt;&gt;""),"Resultat: Die Aufwände nach Verrechnung allfälliger Wegvergütungen (netto) steigen pro Monat um:",IF(B148=0,Resultat: Die Aufwände nach Verrechnung allfälliger Wegvergütungen bleiben unverändert,"")))</f>
        <v>Resultat: Die Aufwände nach Verrechnung allfälliger Wegvergütungen (netto) sinken pro Monat um:</v>
      </c>
      <c r="B149" s="246">
        <f>ABS(B148)</f>
        <v>533.57437207789849</v>
      </c>
      <c r="C149" s="247"/>
      <c r="D149" s="248"/>
      <c r="E149" s="32"/>
    </row>
    <row r="150" spans="1:5" s="9" customFormat="1" ht="13.5" customHeight="1" x14ac:dyDescent="0.3">
      <c r="A150" s="294"/>
      <c r="B150" s="294"/>
      <c r="C150" s="294"/>
      <c r="D150" s="294"/>
      <c r="E150" s="26"/>
    </row>
    <row r="151" spans="1:5" x14ac:dyDescent="0.25">
      <c r="A151" s="29"/>
      <c r="B151" s="30"/>
      <c r="C151" s="30"/>
      <c r="D151" s="30"/>
      <c r="E151" s="31"/>
    </row>
  </sheetData>
  <sheetProtection algorithmName="SHA-512" hashValue="lmgRNcz06QJ20jXrkBaDgP5NXMF/4xK//+EkxVlRf3htA9doTW9Usa2t2vYU9Mi6Y1kyW6lAySFKLaFRiC6eRw==" saltValue="ZR14BTNhUaj0td+Ofue4nQ==" spinCount="100000" sheet="1" selectLockedCells="1"/>
  <mergeCells count="48">
    <mergeCell ref="A11:D11"/>
    <mergeCell ref="A25:D25"/>
    <mergeCell ref="A30:D30"/>
    <mergeCell ref="A12:D12"/>
    <mergeCell ref="A14:D14"/>
    <mergeCell ref="A15:D15"/>
    <mergeCell ref="A39:D39"/>
    <mergeCell ref="A35:D35"/>
    <mergeCell ref="A26:D26"/>
    <mergeCell ref="A28:D28"/>
    <mergeCell ref="A36:D36"/>
    <mergeCell ref="A150:D150"/>
    <mergeCell ref="A104:D104"/>
    <mergeCell ref="A105:D105"/>
    <mergeCell ref="A19:D19"/>
    <mergeCell ref="A90:D90"/>
    <mergeCell ref="A91:D91"/>
    <mergeCell ref="B103:D103"/>
    <mergeCell ref="A77:D77"/>
    <mergeCell ref="A83:D83"/>
    <mergeCell ref="A76:D76"/>
    <mergeCell ref="A70:D70"/>
    <mergeCell ref="A72:D72"/>
    <mergeCell ref="A73:D73"/>
    <mergeCell ref="A74:D74"/>
    <mergeCell ref="A75:D75"/>
    <mergeCell ref="A24:D24"/>
    <mergeCell ref="A1:D1"/>
    <mergeCell ref="A2:D2"/>
    <mergeCell ref="A3:D3"/>
    <mergeCell ref="A4:D4"/>
    <mergeCell ref="A5:D5"/>
    <mergeCell ref="A6:D6"/>
    <mergeCell ref="A45:D45"/>
    <mergeCell ref="A48:D48"/>
    <mergeCell ref="A69:D69"/>
    <mergeCell ref="A31:D31"/>
    <mergeCell ref="A40:D40"/>
    <mergeCell ref="A46:D46"/>
    <mergeCell ref="A44:D44"/>
    <mergeCell ref="A51:D51"/>
    <mergeCell ref="A54:D54"/>
    <mergeCell ref="A68:D68"/>
    <mergeCell ref="A58:D58"/>
    <mergeCell ref="A61:D61"/>
    <mergeCell ref="A64:D64"/>
    <mergeCell ref="A7:D7"/>
    <mergeCell ref="A27:D27"/>
  </mergeCells>
  <hyperlinks>
    <hyperlink ref="A31" r:id="rId1" display="https://www.spitextg.ch/files/HCNN011/2020_empfehlungen_besoldung_mitarbeitende_spitex.pdf" xr:uid="{DCE44FCD-409F-41CF-B7E8-46795A1C3755}"/>
    <hyperlink ref="A75" r:id="rId2" display="https://www.ahv-iv.ch/de/Sozialversicherungen/Weitere-Sozialversicherungen/Berufliche-Vorsorge-BV" xr:uid="{62EF7CE6-F020-41DC-812A-7A3F2E60FDD9}"/>
    <hyperlink ref="A73" r:id="rId3" display="https://web.aeis.ch/DE/static_pages/41/Unser%20Auftrag" xr:uid="{5904CB7B-F8D9-467E-B5FF-7E5749735715}"/>
    <hyperlink ref="A40" r:id="rId4" display="https://www.spitextg.ch/files/HCNN011/2020_empfehlungen_besoldung_mitarbeitende_spitex.pdf" xr:uid="{4C6A8FC1-6421-407D-9A90-8D8A1F119D92}"/>
  </hyperlinks>
  <pageMargins left="0.7" right="0.7" top="0.78740157499999996" bottom="0.78740157499999996" header="0.3" footer="0.3"/>
  <pageSetup paperSize="9" orientation="portrait" r:id="rId5"/>
  <ignoredErrors>
    <ignoredError sqref="D95"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Variante 1</vt:lpstr>
      <vt:lpstr>Variante 2</vt:lpstr>
      <vt:lpstr>Variante 3</vt:lpstr>
    </vt:vector>
  </TitlesOfParts>
  <Company>Kalaidos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Nonnenmacher Lara (Careum Hochschule Gesundheit)</dc:creator>
  <cp:lastModifiedBy>Nonnenmacher Lara (Careum Hochschule Gesundheit)</cp:lastModifiedBy>
  <dcterms:created xsi:type="dcterms:W3CDTF">2021-03-30T12:38:27Z</dcterms:created>
  <dcterms:modified xsi:type="dcterms:W3CDTF">2021-12-10T09:40:07Z</dcterms:modified>
</cp:coreProperties>
</file>